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 S U S\Downloads\"/>
    </mc:Choice>
  </mc:AlternateContent>
  <bookViews>
    <workbookView xWindow="0" yWindow="0" windowWidth="28800" windowHeight="11835"/>
  </bookViews>
  <sheets>
    <sheet name="Sheet1" sheetId="1" r:id="rId1"/>
  </sheets>
  <externalReferences>
    <externalReference r:id="rId2"/>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308" i="1" l="1"/>
  <c r="T307" i="1"/>
  <c r="T305" i="1" s="1"/>
  <c r="T306" i="1"/>
  <c r="T304" i="1"/>
  <c r="T303" i="1"/>
  <c r="T302" i="1" s="1"/>
  <c r="S302" i="1"/>
  <c r="T299" i="1"/>
  <c r="T298" i="1"/>
  <c r="T297" i="1"/>
  <c r="T296" i="1"/>
  <c r="T295" i="1"/>
  <c r="T294" i="1"/>
  <c r="S294" i="1"/>
  <c r="T291" i="1"/>
  <c r="T290" i="1"/>
  <c r="T289" i="1"/>
  <c r="T287" i="1" s="1"/>
  <c r="T288" i="1"/>
  <c r="S287" i="1"/>
  <c r="T286" i="1"/>
  <c r="T285" i="1" s="1"/>
  <c r="T282" i="1"/>
  <c r="T281" i="1"/>
  <c r="T280" i="1"/>
  <c r="T279" i="1"/>
  <c r="T278" i="1"/>
  <c r="T277" i="1"/>
  <c r="T276" i="1"/>
  <c r="T275" i="1" s="1"/>
  <c r="S275" i="1"/>
  <c r="T272" i="1"/>
  <c r="T271" i="1"/>
  <c r="T270" i="1"/>
  <c r="T269" i="1"/>
  <c r="S269" i="1"/>
  <c r="T266" i="1"/>
  <c r="T265" i="1"/>
  <c r="T264" i="1"/>
  <c r="T263" i="1"/>
  <c r="T262" i="1" s="1"/>
  <c r="T259" i="1"/>
  <c r="T258" i="1"/>
  <c r="T257" i="1"/>
  <c r="T256" i="1"/>
  <c r="L308" i="1"/>
  <c r="P308" i="1" s="1"/>
  <c r="J308" i="1"/>
  <c r="P307" i="1"/>
  <c r="N307" i="1"/>
  <c r="R307" i="1" s="1"/>
  <c r="L307" i="1"/>
  <c r="J307" i="1"/>
  <c r="J306" i="1"/>
  <c r="L306" i="1" s="1"/>
  <c r="J305" i="1"/>
  <c r="H305" i="1"/>
  <c r="J304" i="1"/>
  <c r="L304" i="1" s="1"/>
  <c r="P303" i="1"/>
  <c r="L303" i="1"/>
  <c r="N303" i="1" s="1"/>
  <c r="J302" i="1"/>
  <c r="J299" i="1"/>
  <c r="L299" i="1" s="1"/>
  <c r="L298" i="1"/>
  <c r="P298" i="1" s="1"/>
  <c r="J298" i="1"/>
  <c r="J297" i="1"/>
  <c r="L297" i="1" s="1"/>
  <c r="P296" i="1"/>
  <c r="L296" i="1"/>
  <c r="N296" i="1" s="1"/>
  <c r="R296" i="1" s="1"/>
  <c r="J296" i="1"/>
  <c r="J295" i="1"/>
  <c r="J294" i="1" s="1"/>
  <c r="H294" i="1"/>
  <c r="P291" i="1"/>
  <c r="L291" i="1"/>
  <c r="N291" i="1" s="1"/>
  <c r="R291" i="1" s="1"/>
  <c r="J291" i="1"/>
  <c r="J290" i="1"/>
  <c r="J287" i="1" s="1"/>
  <c r="L289" i="1"/>
  <c r="P289" i="1" s="1"/>
  <c r="L288" i="1"/>
  <c r="P288" i="1" s="1"/>
  <c r="H287" i="1"/>
  <c r="P286" i="1"/>
  <c r="P285" i="1" s="1"/>
  <c r="L286" i="1"/>
  <c r="N286" i="1" s="1"/>
  <c r="J286" i="1"/>
  <c r="J285" i="1"/>
  <c r="H285" i="1"/>
  <c r="J282" i="1"/>
  <c r="L282" i="1" s="1"/>
  <c r="P281" i="1"/>
  <c r="L281" i="1"/>
  <c r="N281" i="1" s="1"/>
  <c r="R281" i="1" s="1"/>
  <c r="P280" i="1"/>
  <c r="L280" i="1"/>
  <c r="N280" i="1" s="1"/>
  <c r="R280" i="1" s="1"/>
  <c r="J280" i="1"/>
  <c r="J279" i="1"/>
  <c r="L279" i="1" s="1"/>
  <c r="L278" i="1"/>
  <c r="P278" i="1" s="1"/>
  <c r="J278" i="1"/>
  <c r="J277" i="1"/>
  <c r="L277" i="1" s="1"/>
  <c r="P276" i="1"/>
  <c r="L276" i="1"/>
  <c r="N276" i="1" s="1"/>
  <c r="J276" i="1"/>
  <c r="J275" i="1"/>
  <c r="L272" i="1"/>
  <c r="P272" i="1" s="1"/>
  <c r="L271" i="1"/>
  <c r="P271" i="1" s="1"/>
  <c r="J271" i="1"/>
  <c r="J270" i="1"/>
  <c r="L270" i="1" s="1"/>
  <c r="H269" i="1"/>
  <c r="L266" i="1"/>
  <c r="P266" i="1" s="1"/>
  <c r="J266" i="1"/>
  <c r="L265" i="1"/>
  <c r="N265" i="1" s="1"/>
  <c r="R265" i="1" s="1"/>
  <c r="J265" i="1"/>
  <c r="J264" i="1"/>
  <c r="L264" i="1" s="1"/>
  <c r="P263" i="1"/>
  <c r="L263" i="1"/>
  <c r="N263" i="1" s="1"/>
  <c r="H262" i="1"/>
  <c r="L258" i="1"/>
  <c r="L257" i="1" s="1"/>
  <c r="J257" i="1"/>
  <c r="H257" i="1"/>
  <c r="T233" i="1"/>
  <c r="J234" i="1"/>
  <c r="L234" i="1" s="1"/>
  <c r="J235" i="1"/>
  <c r="L235" i="1"/>
  <c r="N235" i="1" s="1"/>
  <c r="P235" i="1" s="1"/>
  <c r="R235" i="1" s="1"/>
  <c r="J236" i="1"/>
  <c r="L236" i="1"/>
  <c r="N236" i="1" s="1"/>
  <c r="P236" i="1" s="1"/>
  <c r="R236" i="1" s="1"/>
  <c r="J237" i="1"/>
  <c r="L237" i="1"/>
  <c r="T237" i="1"/>
  <c r="J238" i="1"/>
  <c r="L238" i="1"/>
  <c r="N238" i="1"/>
  <c r="N237" i="1" s="1"/>
  <c r="P238" i="1"/>
  <c r="R238" i="1" s="1"/>
  <c r="R237" i="1" s="1"/>
  <c r="J239" i="1"/>
  <c r="L239" i="1"/>
  <c r="N239" i="1"/>
  <c r="P239" i="1" s="1"/>
  <c r="R239" i="1" s="1"/>
  <c r="T240" i="1"/>
  <c r="J241" i="1"/>
  <c r="L241" i="1"/>
  <c r="N241" i="1"/>
  <c r="P241" i="1"/>
  <c r="R241" i="1" s="1"/>
  <c r="J242" i="1"/>
  <c r="L242" i="1"/>
  <c r="N242" i="1"/>
  <c r="P242" i="1" s="1"/>
  <c r="R242" i="1" s="1"/>
  <c r="J243" i="1"/>
  <c r="J240" i="1" s="1"/>
  <c r="J244" i="1"/>
  <c r="L244" i="1" s="1"/>
  <c r="N244" i="1" s="1"/>
  <c r="P244" i="1" s="1"/>
  <c r="R244" i="1" s="1"/>
  <c r="T245" i="1"/>
  <c r="J246" i="1"/>
  <c r="J245" i="1" s="1"/>
  <c r="T247" i="1"/>
  <c r="J248" i="1"/>
  <c r="L248" i="1"/>
  <c r="N248" i="1" s="1"/>
  <c r="P248" i="1" s="1"/>
  <c r="J249" i="1"/>
  <c r="L249" i="1"/>
  <c r="N249" i="1" s="1"/>
  <c r="P249" i="1" s="1"/>
  <c r="R249" i="1" s="1"/>
  <c r="J250" i="1"/>
  <c r="L250" i="1" s="1"/>
  <c r="N250" i="1" s="1"/>
  <c r="P250" i="1" s="1"/>
  <c r="R250" i="1" s="1"/>
  <c r="T251" i="1"/>
  <c r="J252" i="1"/>
  <c r="L252" i="1"/>
  <c r="N252" i="1" s="1"/>
  <c r="J253" i="1"/>
  <c r="L253" i="1" s="1"/>
  <c r="N253" i="1" s="1"/>
  <c r="P253" i="1" s="1"/>
  <c r="R253" i="1" s="1"/>
  <c r="J254" i="1"/>
  <c r="L254" i="1" s="1"/>
  <c r="N254" i="1" s="1"/>
  <c r="P254" i="1" s="1"/>
  <c r="R254" i="1" s="1"/>
  <c r="R263" i="1" l="1"/>
  <c r="N270" i="1"/>
  <c r="L269" i="1"/>
  <c r="P262" i="1"/>
  <c r="P282" i="1"/>
  <c r="N282" i="1"/>
  <c r="R282" i="1" s="1"/>
  <c r="N306" i="1"/>
  <c r="L305" i="1"/>
  <c r="P306" i="1"/>
  <c r="P305" i="1" s="1"/>
  <c r="P264" i="1"/>
  <c r="N264" i="1"/>
  <c r="R264" i="1" s="1"/>
  <c r="R276" i="1"/>
  <c r="P299" i="1"/>
  <c r="N299" i="1"/>
  <c r="R299" i="1" s="1"/>
  <c r="L302" i="1"/>
  <c r="P304" i="1"/>
  <c r="N304" i="1"/>
  <c r="R304" i="1" s="1"/>
  <c r="P277" i="1"/>
  <c r="N277" i="1"/>
  <c r="R277" i="1" s="1"/>
  <c r="N302" i="1"/>
  <c r="R303" i="1"/>
  <c r="R302" i="1" s="1"/>
  <c r="N285" i="1"/>
  <c r="R286" i="1"/>
  <c r="R285" i="1" s="1"/>
  <c r="P302" i="1"/>
  <c r="P279" i="1"/>
  <c r="P275" i="1" s="1"/>
  <c r="N279" i="1"/>
  <c r="R279" i="1" s="1"/>
  <c r="P297" i="1"/>
  <c r="N297" i="1"/>
  <c r="R297" i="1" s="1"/>
  <c r="N258" i="1"/>
  <c r="J262" i="1"/>
  <c r="J256" i="1" s="1"/>
  <c r="N266" i="1"/>
  <c r="R266" i="1" s="1"/>
  <c r="J269" i="1"/>
  <c r="N271" i="1"/>
  <c r="R271" i="1" s="1"/>
  <c r="N272" i="1"/>
  <c r="R272" i="1" s="1"/>
  <c r="L275" i="1"/>
  <c r="N278" i="1"/>
  <c r="R278" i="1" s="1"/>
  <c r="L285" i="1"/>
  <c r="N288" i="1"/>
  <c r="N289" i="1"/>
  <c r="R289" i="1" s="1"/>
  <c r="L290" i="1"/>
  <c r="L287" i="1" s="1"/>
  <c r="L295" i="1"/>
  <c r="N298" i="1"/>
  <c r="R298" i="1" s="1"/>
  <c r="N308" i="1"/>
  <c r="R308" i="1" s="1"/>
  <c r="L262" i="1"/>
  <c r="J251" i="1"/>
  <c r="L246" i="1"/>
  <c r="N246" i="1" s="1"/>
  <c r="L243" i="1"/>
  <c r="N243" i="1" s="1"/>
  <c r="P243" i="1" s="1"/>
  <c r="R243" i="1" s="1"/>
  <c r="R240" i="1" s="1"/>
  <c r="L233" i="1"/>
  <c r="N234" i="1"/>
  <c r="R248" i="1"/>
  <c r="R247" i="1" s="1"/>
  <c r="P247" i="1"/>
  <c r="P246" i="1"/>
  <c r="N245" i="1"/>
  <c r="L247" i="1"/>
  <c r="P252" i="1"/>
  <c r="N251" i="1"/>
  <c r="J247" i="1"/>
  <c r="L251" i="1"/>
  <c r="N247" i="1"/>
  <c r="L245" i="1"/>
  <c r="P237" i="1"/>
  <c r="J233" i="1"/>
  <c r="P295" i="1" l="1"/>
  <c r="P294" i="1" s="1"/>
  <c r="L294" i="1"/>
  <c r="L256" i="1" s="1"/>
  <c r="N295" i="1"/>
  <c r="P258" i="1"/>
  <c r="N257" i="1"/>
  <c r="R275" i="1"/>
  <c r="N305" i="1"/>
  <c r="R306" i="1"/>
  <c r="R305" i="1" s="1"/>
  <c r="R262" i="1"/>
  <c r="P290" i="1"/>
  <c r="P287" i="1" s="1"/>
  <c r="N290" i="1"/>
  <c r="R290" i="1" s="1"/>
  <c r="N275" i="1"/>
  <c r="N269" i="1"/>
  <c r="P270" i="1"/>
  <c r="R288" i="1"/>
  <c r="R287" i="1" s="1"/>
  <c r="N262" i="1"/>
  <c r="P240" i="1"/>
  <c r="L240" i="1"/>
  <c r="N240" i="1"/>
  <c r="J232" i="1"/>
  <c r="N233" i="1"/>
  <c r="N232" i="1" s="1"/>
  <c r="P234" i="1"/>
  <c r="R252" i="1"/>
  <c r="R251" i="1" s="1"/>
  <c r="P251" i="1"/>
  <c r="R246" i="1"/>
  <c r="R245" i="1" s="1"/>
  <c r="P245" i="1"/>
  <c r="L232" i="1"/>
  <c r="R270" i="1" l="1"/>
  <c r="R269" i="1" s="1"/>
  <c r="P269" i="1"/>
  <c r="N294" i="1"/>
  <c r="N256" i="1" s="1"/>
  <c r="R295" i="1"/>
  <c r="R294" i="1" s="1"/>
  <c r="N287" i="1"/>
  <c r="R258" i="1"/>
  <c r="R257" i="1" s="1"/>
  <c r="R256" i="1" s="1"/>
  <c r="P257" i="1"/>
  <c r="P256" i="1" s="1"/>
  <c r="P233" i="1"/>
  <c r="P232" i="1" s="1"/>
  <c r="R234" i="1"/>
  <c r="R233" i="1" s="1"/>
  <c r="R232" i="1" s="1"/>
  <c r="H251" i="1" l="1"/>
  <c r="H247" i="1"/>
  <c r="H245" i="1"/>
  <c r="H240" i="1"/>
  <c r="H237" i="1"/>
  <c r="H233" i="1"/>
  <c r="H232" i="1" l="1"/>
  <c r="T227" i="1"/>
  <c r="T225" i="1"/>
  <c r="T219" i="1"/>
  <c r="T217" i="1"/>
  <c r="T216" i="1"/>
  <c r="T208" i="1"/>
  <c r="T203" i="1"/>
  <c r="H213" i="1"/>
  <c r="H211" i="1"/>
  <c r="H206" i="1"/>
  <c r="H200" i="1"/>
  <c r="L229" i="1"/>
  <c r="N229" i="1" s="1"/>
  <c r="P229" i="1" s="1"/>
  <c r="R229" i="1" s="1"/>
  <c r="T229" i="1" s="1"/>
  <c r="N228" i="1"/>
  <c r="P228" i="1" s="1"/>
  <c r="R228" i="1" s="1"/>
  <c r="T228" i="1" s="1"/>
  <c r="L228" i="1"/>
  <c r="L227" i="1"/>
  <c r="N227" i="1" s="1"/>
  <c r="P227" i="1" s="1"/>
  <c r="R227" i="1" s="1"/>
  <c r="L226" i="1"/>
  <c r="N226" i="1" s="1"/>
  <c r="P226" i="1" s="1"/>
  <c r="R226" i="1" s="1"/>
  <c r="T226" i="1" s="1"/>
  <c r="L225" i="1"/>
  <c r="N225" i="1" s="1"/>
  <c r="P225" i="1" s="1"/>
  <c r="R225" i="1" s="1"/>
  <c r="L224" i="1"/>
  <c r="N224" i="1" s="1"/>
  <c r="P224" i="1" s="1"/>
  <c r="R224" i="1" s="1"/>
  <c r="T224" i="1" s="1"/>
  <c r="L223" i="1"/>
  <c r="N223" i="1" s="1"/>
  <c r="P223" i="1" s="1"/>
  <c r="R223" i="1" s="1"/>
  <c r="T223" i="1" s="1"/>
  <c r="L222" i="1"/>
  <c r="N222" i="1" s="1"/>
  <c r="P222" i="1" s="1"/>
  <c r="R222" i="1" s="1"/>
  <c r="T222" i="1" s="1"/>
  <c r="L221" i="1"/>
  <c r="N221" i="1" s="1"/>
  <c r="P221" i="1" s="1"/>
  <c r="R221" i="1" s="1"/>
  <c r="T221" i="1" s="1"/>
  <c r="N220" i="1"/>
  <c r="P220" i="1" s="1"/>
  <c r="R220" i="1" s="1"/>
  <c r="T220" i="1" s="1"/>
  <c r="L220" i="1"/>
  <c r="L219" i="1"/>
  <c r="N219" i="1" s="1"/>
  <c r="P219" i="1" s="1"/>
  <c r="R219" i="1" s="1"/>
  <c r="L218" i="1"/>
  <c r="N218" i="1" s="1"/>
  <c r="P218" i="1" s="1"/>
  <c r="R218" i="1" s="1"/>
  <c r="T218" i="1" s="1"/>
  <c r="L217" i="1"/>
  <c r="N217" i="1" s="1"/>
  <c r="P217" i="1" s="1"/>
  <c r="R217" i="1" s="1"/>
  <c r="J216" i="1"/>
  <c r="L216" i="1" s="1"/>
  <c r="N216" i="1" s="1"/>
  <c r="P216" i="1" s="1"/>
  <c r="R216" i="1" s="1"/>
  <c r="J215" i="1"/>
  <c r="L215" i="1" s="1"/>
  <c r="L214" i="1"/>
  <c r="N214" i="1" s="1"/>
  <c r="L212" i="1"/>
  <c r="L211" i="1" s="1"/>
  <c r="J211" i="1"/>
  <c r="L210" i="1"/>
  <c r="N210" i="1" s="1"/>
  <c r="P210" i="1" s="1"/>
  <c r="R210" i="1" s="1"/>
  <c r="T210" i="1" s="1"/>
  <c r="N209" i="1"/>
  <c r="P209" i="1" s="1"/>
  <c r="R209" i="1" s="1"/>
  <c r="T209" i="1" s="1"/>
  <c r="L209" i="1"/>
  <c r="L208" i="1"/>
  <c r="N208" i="1" s="1"/>
  <c r="P208" i="1" s="1"/>
  <c r="R208" i="1" s="1"/>
  <c r="L207" i="1"/>
  <c r="L206" i="1" s="1"/>
  <c r="J206" i="1"/>
  <c r="L205" i="1"/>
  <c r="N205" i="1" s="1"/>
  <c r="P205" i="1" s="1"/>
  <c r="R205" i="1" s="1"/>
  <c r="T205" i="1" s="1"/>
  <c r="L204" i="1"/>
  <c r="N204" i="1" s="1"/>
  <c r="P204" i="1" s="1"/>
  <c r="R204" i="1" s="1"/>
  <c r="T204" i="1" s="1"/>
  <c r="L203" i="1"/>
  <c r="N203" i="1" s="1"/>
  <c r="P203" i="1" s="1"/>
  <c r="R203" i="1" s="1"/>
  <c r="L202" i="1"/>
  <c r="N202" i="1" s="1"/>
  <c r="P202" i="1" s="1"/>
  <c r="R202" i="1" s="1"/>
  <c r="T202" i="1" s="1"/>
  <c r="L201" i="1"/>
  <c r="N201" i="1" s="1"/>
  <c r="L200" i="1"/>
  <c r="J200" i="1"/>
  <c r="L199" i="1" l="1"/>
  <c r="N212" i="1"/>
  <c r="H199" i="1"/>
  <c r="H230" i="1" s="1"/>
  <c r="N207" i="1"/>
  <c r="P207" i="1" s="1"/>
  <c r="P206" i="1" s="1"/>
  <c r="J199" i="1"/>
  <c r="J213" i="1"/>
  <c r="P201" i="1"/>
  <c r="N200" i="1"/>
  <c r="P214" i="1"/>
  <c r="N215" i="1"/>
  <c r="P215" i="1" s="1"/>
  <c r="R215" i="1" s="1"/>
  <c r="T215" i="1" s="1"/>
  <c r="L213" i="1"/>
  <c r="L230" i="1" s="1"/>
  <c r="N206" i="1"/>
  <c r="R207" i="1" l="1"/>
  <c r="P212" i="1"/>
  <c r="N211" i="1"/>
  <c r="J230" i="1"/>
  <c r="N213" i="1"/>
  <c r="P213" i="1"/>
  <c r="R214" i="1"/>
  <c r="N199" i="1"/>
  <c r="N230" i="1" s="1"/>
  <c r="P200" i="1"/>
  <c r="R201" i="1"/>
  <c r="G167" i="1"/>
  <c r="G163" i="1"/>
  <c r="G159" i="1"/>
  <c r="G154" i="1"/>
  <c r="G148" i="1"/>
  <c r="G146" i="1"/>
  <c r="G139" i="1" s="1"/>
  <c r="G144" i="1"/>
  <c r="G140" i="1"/>
  <c r="R167" i="1"/>
  <c r="P167" i="1"/>
  <c r="N167" i="1"/>
  <c r="L167" i="1"/>
  <c r="J167" i="1"/>
  <c r="R163" i="1"/>
  <c r="P163" i="1"/>
  <c r="N163" i="1"/>
  <c r="L163" i="1"/>
  <c r="J163" i="1"/>
  <c r="R159" i="1"/>
  <c r="P159" i="1"/>
  <c r="P158" i="1" s="1"/>
  <c r="N159" i="1"/>
  <c r="N158" i="1" s="1"/>
  <c r="L159" i="1"/>
  <c r="J159" i="1"/>
  <c r="R148" i="1"/>
  <c r="P148" i="1"/>
  <c r="N148" i="1"/>
  <c r="L148" i="1"/>
  <c r="J148" i="1"/>
  <c r="R140" i="1"/>
  <c r="R139" i="1" s="1"/>
  <c r="P140" i="1"/>
  <c r="N140" i="1"/>
  <c r="L140" i="1"/>
  <c r="L139" i="1" s="1"/>
  <c r="J140" i="1"/>
  <c r="J139" i="1" s="1"/>
  <c r="R213" i="1" l="1"/>
  <c r="T213" i="1" s="1"/>
  <c r="T214" i="1"/>
  <c r="N139" i="1"/>
  <c r="N171" i="1" s="1"/>
  <c r="J158" i="1"/>
  <c r="R200" i="1"/>
  <c r="T201" i="1"/>
  <c r="T200" i="1" s="1"/>
  <c r="R212" i="1"/>
  <c r="P211" i="1"/>
  <c r="P139" i="1"/>
  <c r="L158" i="1"/>
  <c r="R158" i="1"/>
  <c r="R171" i="1" s="1"/>
  <c r="G158" i="1"/>
  <c r="G171" i="1" s="1"/>
  <c r="P199" i="1"/>
  <c r="P230" i="1" s="1"/>
  <c r="R206" i="1"/>
  <c r="T206" i="1" s="1"/>
  <c r="T207" i="1"/>
  <c r="J171" i="1"/>
  <c r="L171" i="1"/>
  <c r="P171" i="1"/>
  <c r="R211" i="1" l="1"/>
  <c r="T211" i="1" s="1"/>
  <c r="T212" i="1"/>
  <c r="T199" i="1"/>
  <c r="T230" i="1" s="1"/>
  <c r="H134" i="1"/>
  <c r="H130" i="1"/>
  <c r="H127" i="1"/>
  <c r="H124" i="1" s="1"/>
  <c r="H120" i="1"/>
  <c r="H116" i="1"/>
  <c r="T134" i="1"/>
  <c r="T130" i="1"/>
  <c r="T127" i="1"/>
  <c r="T124" i="1" s="1"/>
  <c r="T120" i="1"/>
  <c r="T116" i="1"/>
  <c r="R134" i="1"/>
  <c r="P134" i="1"/>
  <c r="N134" i="1"/>
  <c r="L134" i="1"/>
  <c r="J134" i="1"/>
  <c r="R130" i="1"/>
  <c r="P130" i="1"/>
  <c r="N130" i="1"/>
  <c r="L130" i="1"/>
  <c r="J130" i="1"/>
  <c r="J124" i="1" s="1"/>
  <c r="R127" i="1"/>
  <c r="P127" i="1"/>
  <c r="N127" i="1"/>
  <c r="L127" i="1"/>
  <c r="J127" i="1"/>
  <c r="R120" i="1"/>
  <c r="P120" i="1"/>
  <c r="N120" i="1"/>
  <c r="L120" i="1"/>
  <c r="J120" i="1"/>
  <c r="R116" i="1"/>
  <c r="R115" i="1" s="1"/>
  <c r="T115" i="1" s="1"/>
  <c r="P116" i="1"/>
  <c r="N116" i="1"/>
  <c r="N115" i="1" s="1"/>
  <c r="L116" i="1"/>
  <c r="L115" i="1" s="1"/>
  <c r="J116" i="1"/>
  <c r="J115" i="1" l="1"/>
  <c r="P124" i="1"/>
  <c r="N124" i="1"/>
  <c r="P115" i="1"/>
  <c r="H115" i="1"/>
  <c r="R199" i="1"/>
  <c r="R230" i="1" s="1"/>
  <c r="L124" i="1"/>
  <c r="R124" i="1"/>
  <c r="H48" i="1" l="1"/>
  <c r="H42" i="1"/>
  <c r="H40" i="1"/>
  <c r="H39" i="1"/>
  <c r="H38" i="1"/>
  <c r="H36" i="1"/>
  <c r="H35" i="1"/>
  <c r="H33" i="1" s="1"/>
  <c r="H30" i="1"/>
  <c r="J51" i="1"/>
  <c r="L51" i="1" s="1"/>
  <c r="N51" i="1" s="1"/>
  <c r="P51" i="1" s="1"/>
  <c r="R51" i="1" s="1"/>
  <c r="J50" i="1"/>
  <c r="L50" i="1" s="1"/>
  <c r="N50" i="1" s="1"/>
  <c r="P50" i="1" s="1"/>
  <c r="R50" i="1" s="1"/>
  <c r="J49" i="1"/>
  <c r="L49" i="1" s="1"/>
  <c r="J47" i="1"/>
  <c r="L47" i="1" s="1"/>
  <c r="N47" i="1" s="1"/>
  <c r="P47" i="1" s="1"/>
  <c r="R47" i="1" s="1"/>
  <c r="J46" i="1"/>
  <c r="L46" i="1" s="1"/>
  <c r="N46" i="1" s="1"/>
  <c r="P46" i="1" s="1"/>
  <c r="R46" i="1" s="1"/>
  <c r="J45" i="1"/>
  <c r="L45" i="1" s="1"/>
  <c r="J44" i="1"/>
  <c r="L44" i="1" s="1"/>
  <c r="J43" i="1"/>
  <c r="L43" i="1" s="1"/>
  <c r="J40" i="1"/>
  <c r="L40" i="1" s="1"/>
  <c r="J39" i="1"/>
  <c r="L39" i="1" s="1"/>
  <c r="N39" i="1" s="1"/>
  <c r="P39" i="1" s="1"/>
  <c r="R39" i="1" s="1"/>
  <c r="J38" i="1"/>
  <c r="L38" i="1" s="1"/>
  <c r="J36" i="1"/>
  <c r="L36" i="1" s="1"/>
  <c r="J35" i="1"/>
  <c r="L35" i="1" s="1"/>
  <c r="N35" i="1" s="1"/>
  <c r="P35" i="1" s="1"/>
  <c r="R35" i="1" s="1"/>
  <c r="J34" i="1"/>
  <c r="J32" i="1"/>
  <c r="J31" i="1"/>
  <c r="L31" i="1" s="1"/>
  <c r="R27" i="1"/>
  <c r="P27" i="1"/>
  <c r="N27" i="1"/>
  <c r="R26" i="1"/>
  <c r="P26" i="1"/>
  <c r="N26" i="1"/>
  <c r="R25" i="1"/>
  <c r="P25" i="1"/>
  <c r="N25" i="1"/>
  <c r="L24" i="1"/>
  <c r="L23" i="1"/>
  <c r="R21" i="1"/>
  <c r="P21" i="1"/>
  <c r="N21" i="1"/>
  <c r="R20" i="1"/>
  <c r="P20" i="1"/>
  <c r="N20" i="1"/>
  <c r="R19" i="1"/>
  <c r="P19" i="1"/>
  <c r="N19" i="1"/>
  <c r="L18" i="1"/>
  <c r="R17" i="1"/>
  <c r="P17" i="1"/>
  <c r="N17" i="1"/>
  <c r="R16" i="1"/>
  <c r="P16" i="1"/>
  <c r="N16" i="1"/>
  <c r="R15" i="1"/>
  <c r="P15" i="1"/>
  <c r="N15" i="1"/>
  <c r="L14" i="1"/>
  <c r="R13" i="1"/>
  <c r="P13" i="1"/>
  <c r="N13" i="1"/>
  <c r="R12" i="1"/>
  <c r="P12" i="1"/>
  <c r="N12" i="1"/>
  <c r="R11" i="1"/>
  <c r="P11" i="1"/>
  <c r="N11" i="1"/>
  <c r="L10" i="1"/>
  <c r="J10" i="1"/>
  <c r="J9" i="1" s="1"/>
  <c r="N24" i="1" l="1"/>
  <c r="R18" i="1"/>
  <c r="N10" i="1"/>
  <c r="H41" i="1"/>
  <c r="P10" i="1"/>
  <c r="H37" i="1"/>
  <c r="H29" i="1" s="1"/>
  <c r="P24" i="1"/>
  <c r="N18" i="1"/>
  <c r="L9" i="1"/>
  <c r="R14" i="1"/>
  <c r="P23" i="1"/>
  <c r="P18" i="1"/>
  <c r="R10" i="1"/>
  <c r="N14" i="1"/>
  <c r="P14" i="1"/>
  <c r="R24" i="1"/>
  <c r="N31" i="1"/>
  <c r="L42" i="1"/>
  <c r="N43" i="1"/>
  <c r="N36" i="1"/>
  <c r="P36" i="1" s="1"/>
  <c r="R36" i="1" s="1"/>
  <c r="N44" i="1"/>
  <c r="P44" i="1" s="1"/>
  <c r="R44" i="1" s="1"/>
  <c r="L37" i="1"/>
  <c r="N38" i="1"/>
  <c r="N40" i="1"/>
  <c r="P40" i="1" s="1"/>
  <c r="R40" i="1" s="1"/>
  <c r="J30" i="1"/>
  <c r="J42" i="1"/>
  <c r="L34" i="1"/>
  <c r="J33" i="1"/>
  <c r="J37" i="1"/>
  <c r="T35" i="1"/>
  <c r="N45" i="1"/>
  <c r="P45" i="1" s="1"/>
  <c r="R45" i="1" s="1"/>
  <c r="J48" i="1"/>
  <c r="N49" i="1"/>
  <c r="T39" i="1"/>
  <c r="T47" i="1"/>
  <c r="T51" i="1"/>
  <c r="L32" i="1"/>
  <c r="N32" i="1" s="1"/>
  <c r="P32" i="1" s="1"/>
  <c r="R32" i="1" s="1"/>
  <c r="T46" i="1"/>
  <c r="L48" i="1"/>
  <c r="T50" i="1"/>
  <c r="N23" i="1"/>
  <c r="R23" i="1"/>
  <c r="R9" i="1" l="1"/>
  <c r="P9" i="1"/>
  <c r="N9" i="1"/>
  <c r="J41" i="1"/>
  <c r="L41" i="1"/>
  <c r="T45" i="1"/>
  <c r="L30" i="1"/>
  <c r="N48" i="1"/>
  <c r="P49" i="1"/>
  <c r="J29" i="1"/>
  <c r="N30" i="1"/>
  <c r="P31" i="1"/>
  <c r="T36" i="1"/>
  <c r="T40" i="1"/>
  <c r="T32" i="1"/>
  <c r="L33" i="1"/>
  <c r="N34" i="1"/>
  <c r="T44" i="1"/>
  <c r="N37" i="1"/>
  <c r="P38" i="1"/>
  <c r="P43" i="1"/>
  <c r="N42" i="1"/>
  <c r="J52" i="1" l="1"/>
  <c r="L29" i="1"/>
  <c r="L52" i="1" s="1"/>
  <c r="N41" i="1"/>
  <c r="P42" i="1"/>
  <c r="R43" i="1"/>
  <c r="R42" i="1" s="1"/>
  <c r="P37" i="1"/>
  <c r="R38" i="1"/>
  <c r="R37" i="1" s="1"/>
  <c r="P34" i="1"/>
  <c r="N33" i="1"/>
  <c r="N29" i="1" s="1"/>
  <c r="P30" i="1"/>
  <c r="R31" i="1"/>
  <c r="R30" i="1" s="1"/>
  <c r="P48" i="1"/>
  <c r="R49" i="1"/>
  <c r="R48" i="1" s="1"/>
  <c r="N52" i="1" l="1"/>
  <c r="R41" i="1"/>
  <c r="P41" i="1"/>
  <c r="T49" i="1"/>
  <c r="T48" i="1" s="1"/>
  <c r="T38" i="1"/>
  <c r="T37" i="1" s="1"/>
  <c r="P33" i="1"/>
  <c r="P29" i="1" s="1"/>
  <c r="R34" i="1"/>
  <c r="R33" i="1" s="1"/>
  <c r="R29" i="1" s="1"/>
  <c r="T31" i="1"/>
  <c r="T30" i="1" s="1"/>
  <c r="T43" i="1"/>
  <c r="T42" i="1" s="1"/>
  <c r="T41" i="1" l="1"/>
  <c r="R52" i="1"/>
  <c r="T34" i="1"/>
  <c r="T33" i="1" s="1"/>
  <c r="T29" i="1" s="1"/>
  <c r="T52" i="1" s="1"/>
  <c r="P52" i="1"/>
</calcChain>
</file>

<file path=xl/comments1.xml><?xml version="1.0" encoding="utf-8"?>
<comments xmlns="http://schemas.openxmlformats.org/spreadsheetml/2006/main">
  <authors>
    <author>ASUS</author>
    <author>PSL.STORE</author>
  </authors>
  <commentList>
    <comment ref="F29" authorId="0" shapeId="0">
      <text>
        <r>
          <rPr>
            <sz val="9"/>
            <color indexed="81"/>
            <rFont val="Tahoma"/>
            <family val="2"/>
          </rPr>
          <t>Dilaksanakan itu dibuat dan disusun</t>
        </r>
      </text>
    </comment>
    <comment ref="G31" authorId="0" shapeId="0">
      <text>
        <r>
          <rPr>
            <sz val="9"/>
            <color indexed="81"/>
            <rFont val="Tahoma"/>
            <family val="2"/>
          </rPr>
          <t>1. Masjid Al Zikro
2. Masjid Al Khoirot
3. Masjid Agung Al Falah Jambi</t>
        </r>
      </text>
    </comment>
    <comment ref="G32" authorId="0" shapeId="0">
      <text>
        <r>
          <rPr>
            <sz val="9"/>
            <color indexed="81"/>
            <rFont val="Tahoma"/>
            <family val="2"/>
          </rPr>
          <t>1. Kelembagaan Terkait Haji
2. Kelembagaan Terkait MTQ/STQH</t>
        </r>
      </text>
    </comment>
    <comment ref="G43" authorId="0" shapeId="0">
      <text>
        <r>
          <rPr>
            <sz val="9"/>
            <color indexed="81"/>
            <rFont val="Tahoma"/>
            <family val="2"/>
          </rPr>
          <t xml:space="preserve">2 Program Teknis dan Program Penunjang
</t>
        </r>
      </text>
    </comment>
    <comment ref="G44" authorId="0" shapeId="0">
      <text>
        <r>
          <rPr>
            <sz val="9"/>
            <color indexed="81"/>
            <rFont val="Tahoma"/>
            <family val="2"/>
          </rPr>
          <t xml:space="preserve">1. Murni
2. Perubahan
</t>
        </r>
      </text>
    </comment>
    <comment ref="G45" authorId="0" shapeId="0">
      <text>
        <r>
          <rPr>
            <sz val="9"/>
            <color indexed="81"/>
            <rFont val="Tahoma"/>
            <family val="2"/>
          </rPr>
          <t xml:space="preserve">1. Murni
2. Perubahan
</t>
        </r>
      </text>
    </comment>
    <comment ref="G46" authorId="0" shapeId="0">
      <text>
        <r>
          <rPr>
            <sz val="9"/>
            <color indexed="81"/>
            <rFont val="Tahoma"/>
            <family val="2"/>
          </rPr>
          <t xml:space="preserve">2 Laporan sesuai dengan Indikator Kinerja
</t>
        </r>
      </text>
    </comment>
    <comment ref="J165" authorId="1" shapeId="0">
      <text>
        <r>
          <rPr>
            <b/>
            <sz val="9"/>
            <color indexed="81"/>
            <rFont val="Tahoma"/>
            <family val="2"/>
          </rPr>
          <t>PSL.STORE:</t>
        </r>
        <r>
          <rPr>
            <sz val="9"/>
            <color indexed="81"/>
            <rFont val="Tahoma"/>
            <family val="2"/>
          </rPr>
          <t xml:space="preserve">
</t>
        </r>
      </text>
    </comment>
  </commentList>
</comments>
</file>

<file path=xl/sharedStrings.xml><?xml version="1.0" encoding="utf-8"?>
<sst xmlns="http://schemas.openxmlformats.org/spreadsheetml/2006/main" count="2093" uniqueCount="823">
  <si>
    <t>Tujuan</t>
  </si>
  <si>
    <t>Sasaran</t>
  </si>
  <si>
    <t>Kode</t>
  </si>
  <si>
    <t>Bidang Urusan Pemerintahan Daerah Dan Program/ Kegiatan/ Sub Kegiatan</t>
  </si>
  <si>
    <t>Indikator Kinerja Program/ Kegiatan/ Sub Kegiatan</t>
  </si>
  <si>
    <t>Data Capaian Pada Awal Tahun Perencanaan 2025</t>
  </si>
  <si>
    <t>TARGET KINERJA PROGRAM DAN KERANGKA PENDANAAN</t>
  </si>
  <si>
    <t>Kondisi Kinerja Pada Akhir  Periode  Renstra Perangkat Daerah</t>
  </si>
  <si>
    <t>UNIT KERJA PERANGKAT DAERAH PENANGGUNG JAWAB</t>
  </si>
  <si>
    <t>Lokasi</t>
  </si>
  <si>
    <t>Tahun 2026</t>
  </si>
  <si>
    <t>Tahun 2027</t>
  </si>
  <si>
    <t>Tahun 2028</t>
  </si>
  <si>
    <t>Tahun 2029</t>
  </si>
  <si>
    <t>Target 2030</t>
  </si>
  <si>
    <t>Target</t>
  </si>
  <si>
    <t>Rp</t>
  </si>
  <si>
    <t>(Rp)</t>
  </si>
  <si>
    <t>Meningkatya Tata Kelola Pemerintahan Yang Baik</t>
  </si>
  <si>
    <t>Meningkatnya kemampuan penyelenggaraan pemerintahan yang efektif</t>
  </si>
  <si>
    <t>Program Pemerintah dan Otonomi Daerah</t>
  </si>
  <si>
    <t>Nilai LPPD</t>
  </si>
  <si>
    <t>Biro Pemerintahan dan Otonomi Daerah</t>
  </si>
  <si>
    <t>Jambi</t>
  </si>
  <si>
    <t>4.01.03.1.01</t>
  </si>
  <si>
    <t>Pelaksanaan Tugas Pemerintahan</t>
  </si>
  <si>
    <t>Persentase Penyelesaian batas antar Kabupaten/kota dalam Provinsi jambi</t>
  </si>
  <si>
    <t>4.01.03.1.01.0001</t>
  </si>
  <si>
    <t>Pengelolaan Administrasi Kebijakan Pemerintah</t>
  </si>
  <si>
    <t>Jumlah Dokumen Hasil Pengelolaan Administrasi Kebijakan Pemerintahan</t>
  </si>
  <si>
    <t>1 Lap</t>
  </si>
  <si>
    <t>4.01.03.1.01.0002</t>
  </si>
  <si>
    <t>Fasilitasi Pelaksanaan Pemerintahan Umum</t>
  </si>
  <si>
    <t>Jumlah Dokumen Hasil Koordinasi Pelaksanaan Pemerintahan Umum</t>
  </si>
  <si>
    <t>4.01.03.1.01.0003</t>
  </si>
  <si>
    <t>Fasilitasi Penataan Wilayah</t>
  </si>
  <si>
    <t>Jumlah Dokumen Hasil Fasilitasi Penataan Wilayah</t>
  </si>
  <si>
    <t>4.01.03.1.02</t>
  </si>
  <si>
    <t>Kegiatan pelaksanaan Otonomi daerah</t>
  </si>
  <si>
    <t>Tersusunys LKPJ Provinsi jambi</t>
  </si>
  <si>
    <t>4.01.03.1.02.0001</t>
  </si>
  <si>
    <t>Fasilitasi Administrasi Kepala Daerah dan DPRD</t>
  </si>
  <si>
    <t>Jumlah Dokumen Hasil Fasilitasi Administrasi Kepala Daerah dan DPRD</t>
  </si>
  <si>
    <t>4.01.03.1.02.0002</t>
  </si>
  <si>
    <t>Pengembangan Otonomi dan Penataan Urusan</t>
  </si>
  <si>
    <t>Jumlah Dokumen Hasil Pengembangan Otonomi dan Penataan Urusan yang dilaksanakan</t>
  </si>
  <si>
    <t>4.01.03.1.02.0003</t>
  </si>
  <si>
    <t>Evaluasi dan Penyelenggaraan Pemerintahan</t>
  </si>
  <si>
    <t>Jumlah Laporan Hasil Evaluasi dan Penyelenggaraan Pemerintahan</t>
  </si>
  <si>
    <t>&gt;2900</t>
  </si>
  <si>
    <t>4.01.03.1.03</t>
  </si>
  <si>
    <t>Kegiatan fasilitasi Kerjasama Daerah</t>
  </si>
  <si>
    <t>Jumlah Kerjasama yang di fasilitasi</t>
  </si>
  <si>
    <t>4.01.03.1.03.0001</t>
  </si>
  <si>
    <t>Fasilitasi Kerjasama Antar Pemerintah</t>
  </si>
  <si>
    <t>Jumlah Kerjasama Antar Pemerintah yang Difasilitasi</t>
  </si>
  <si>
    <t>5 Naskah</t>
  </si>
  <si>
    <t>4.01.03.1.03.0002</t>
  </si>
  <si>
    <t>Fasilitasi Kerja Sama Badan Usaha/Swasta</t>
  </si>
  <si>
    <t>Jumlah Kerjasama Badan Usaha/swasta yang difasilitasi</t>
  </si>
  <si>
    <t>9 Kali</t>
  </si>
  <si>
    <t>4.01.03.1.03.0003</t>
  </si>
  <si>
    <t>Evaluasi Pelaksanaan Kerjasama</t>
  </si>
  <si>
    <t>Jumlah Laporan Hasil Evaluasi Pelaksanaan Kerja Sama</t>
  </si>
  <si>
    <t>3 Lap</t>
  </si>
  <si>
    <t>Meningkatnya layanan pemenuhan SPM Provinsi Jambi</t>
  </si>
  <si>
    <t>Meningkatnya kualitas pelayanan publik dan akuntabilitas kinerja</t>
  </si>
  <si>
    <t>Program Penunjang Urusan Pemerintahan Daerah Provinsi</t>
  </si>
  <si>
    <t>Nilai Sakip</t>
  </si>
  <si>
    <t>B</t>
  </si>
  <si>
    <t>BB</t>
  </si>
  <si>
    <t>A</t>
  </si>
  <si>
    <t>4.01.01.1.06</t>
  </si>
  <si>
    <t>Administrasi Umum Perangkat Daerah</t>
  </si>
  <si>
    <t>persentase percepatan pelayanaan administrasi perkantoran</t>
  </si>
  <si>
    <t>4.01.01.1.06.0002</t>
  </si>
  <si>
    <t>Penyediaan Peralatan dan Perlengkapan Kantor</t>
  </si>
  <si>
    <t>Jumlah Paket Peralatan dan Perlengkapan Kantor yang Disediakan</t>
  </si>
  <si>
    <t>4.01.01.1.06.0005</t>
  </si>
  <si>
    <t>Penyediaan Barang Cetakan dan Penggandaan</t>
  </si>
  <si>
    <t>JUmlah Paket Barang Cetak dan Penggandaan yang Disediakan</t>
  </si>
  <si>
    <t>7 Jenis</t>
  </si>
  <si>
    <t>4.01.01.1.06.0009</t>
  </si>
  <si>
    <t>Penyelenggaraan Rapat Koordinasi dan Konsultasi SKPD</t>
  </si>
  <si>
    <t>Jumlah Laporan Penyelenggaraan Rapat Koordinasi dan Konsultasi SKPD</t>
  </si>
  <si>
    <t>1 Tahun</t>
  </si>
  <si>
    <t>Biro Kesra Setda Provinsi Jambi</t>
  </si>
  <si>
    <t>Provinsi Jambi</t>
  </si>
  <si>
    <t>3 Unit</t>
  </si>
  <si>
    <t>2 Lembaga</t>
  </si>
  <si>
    <t>2 Dokumen</t>
  </si>
  <si>
    <t>10 Dokumen</t>
  </si>
  <si>
    <t>1. 83
2. BB</t>
  </si>
  <si>
    <t>2 Laporan</t>
  </si>
  <si>
    <t>10 Laporan</t>
  </si>
  <si>
    <t>1 Laporan</t>
  </si>
  <si>
    <t>5 Laporan</t>
  </si>
  <si>
    <t>1 Paket</t>
  </si>
  <si>
    <t>5 Paket</t>
  </si>
  <si>
    <t>2 Paket</t>
  </si>
  <si>
    <t>10 Paket</t>
  </si>
  <si>
    <t>Persentase rekomendasi Kesejahteraan Rakyat yang disusun</t>
  </si>
  <si>
    <t xml:space="preserve">Persentase Pemenuhan Rekomendasi Kesejahteraan Rakyat Bidang Bina Mental Spiritual
</t>
  </si>
  <si>
    <t>Jumlah Sarana dan Prasarana Spiritual yang Dikelola</t>
  </si>
  <si>
    <t>Jumlah Lembaga Bina Spiritual yang Difasilitasi</t>
  </si>
  <si>
    <t>Persentase Pemenuhan Rekomendasi Kesejahteraan Rakyat Bidang Pelayanan Dasar</t>
  </si>
  <si>
    <t>Jumlah Dokumen Hasil Fasilitasi, Koordinasi, Sinkronisasi, Evaluasi, dan Capaian Kinerja Kebijakan Kesejahteraan Rakyat Bidang Pendidikan</t>
  </si>
  <si>
    <t>Jumlah Dokumen Hasil Fasilitasi, Koordinasi, Sinkronisasi, Evaluasi, dan Capaian Kinerja Kebijakan Kesejahteraan Rakyat Bidang Kesehatan</t>
  </si>
  <si>
    <t>Jumlah Dokumen Hasil Fasilitasi, Koordinasi, Sinkronisasi, Evaluasi, dan Capaian Kinerja Kebijakan Kesejahteraan Rakyat Bidang Sosial</t>
  </si>
  <si>
    <t>Persentase Pemenuhan Rekomendasi Kesejahteraan Rakyat Bidang Non Pelayanan Dasar</t>
  </si>
  <si>
    <t>Jumlah Dokumen Hasil Koordinasi dan Sinkronisasi Kebijakan Kesejahteraan Rakyat Bidang Kepemudaan, Olahraga, Kebudayaan, dan Pariwisata</t>
  </si>
  <si>
    <t>Jumlah 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</si>
  <si>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 xml:space="preserve">Jumlah Dokumen Hasil Koordinasi dan Sinkronisasi Kebijakan Kesejahteraan Rakyat Bidang Komunikasi, Informatika, Statistik, Persandian, dan Perhubungan </t>
  </si>
  <si>
    <t>1. Indeks Kepuasan Masyarakat (IKM) Biro Kesra
2. PREDIKAT AKIP BIRO</t>
  </si>
  <si>
    <t>Nilai Sakip Biro</t>
  </si>
  <si>
    <t>Jumlah Dokumen Perencanaan Perangkat Daerah</t>
  </si>
  <si>
    <t>Jumlah dokumen RKA SKPD dan Laporan hasil Koordinasi Penyusunan Dokumen RKA SKPD</t>
  </si>
  <si>
    <t>Jumlah dokumen DPA SKPD dan Laporan Hasil Koordinasi Penyusunan Dokumen DPA SKPD</t>
  </si>
  <si>
    <t>Jumlah Laporan  Capaian Kinerja dan Ikhtisar Realisasi Kinerja SKPD dan Laporan Hasil Koordinasi Penyusunan Laporan Capaian Kinerja dan Ikhtisar Realisasi Kinerja SKPD</t>
  </si>
  <si>
    <t>Jumlah Laporan Evaluasi Kinerja Perangkat Daerah</t>
  </si>
  <si>
    <t>Indeks Kepuasan Masyarakat (IKM) Biro Kesra</t>
  </si>
  <si>
    <t>Jumlah Paket Barang Cetakan dan Pengadaan yang Disediakan</t>
  </si>
  <si>
    <t>Program Kesejahteraan Rakyat</t>
  </si>
  <si>
    <t>Fasilitasi Pembinaan Mental Spiritual</t>
  </si>
  <si>
    <t>Pengelolaan Sarana dan Prasarana Spiritual</t>
  </si>
  <si>
    <t>Fasilitasi Kelembagaan Bina Spiritual</t>
  </si>
  <si>
    <t>Fasilitasi Pengembangan Kesejahteraan Rakyat Pelayanan Dasar</t>
  </si>
  <si>
    <t>Fasilitasi, Koordinasi, Sinkronisasi, Evaluasi, dan Capaian Kinerja Kebijakan Kesejahteraan Rakyat Bidang Pendidikan</t>
  </si>
  <si>
    <t>Fasilitasi, Koordinasi, Sinkronisasi, Evaluasi, dan Capaian Kinerja Kebijakan Kesejahteraan Rakyat Bidang Kesehatan</t>
  </si>
  <si>
    <t>Fasilitasi, Koordinasi, Sinkronisasi, Evaluasi, dan Capaian Kinerja Kebijakan Kesejahteraan Rakyat Bidang Sosial</t>
  </si>
  <si>
    <t>Fasilitasi Pengembangan Kesejahteraan Rakyat Non Pelayanan Dasar</t>
  </si>
  <si>
    <t>Koordinasi dan Sinkronisasi Kebijakan Kesejahteraan Rakyat Bidang Kepemudaan, Olahraga, Kebudayaan, dan Pariwisata</t>
  </si>
  <si>
    <t>Koordinasi dan Sinkronisasi Kebijakan Kesejahteraan Rakyat Bidang Pemberdayaan Perempuan dan Perlindungan Anak, Pengendalian Penduduk dan Keluarga Berencana, Administrasi Kependudukan dan Pencatatan Sipil, Pemberdayaan Masyarakat dan Desa, Transmigrasi dan Tenaga Kerja</t>
  </si>
  <si>
    <t>Koordinasi dan Sinkronisasi Kebijakan Kesejahteraan Rakyat Bidang Komunikasi, Informatika, Statistik, Persandian, dan Perhubungan</t>
  </si>
  <si>
    <t xml:space="preserve">Program Penunjang Urusan Pemerintah Daerah Provinsi </t>
  </si>
  <si>
    <t>Kegiatan Perencanaan, Penganggaran,dan Evaluasi Kinerja Perangkat Daerah</t>
  </si>
  <si>
    <t>Sub Kegiatan Penyusunan Dokumen Perencanaan Perangkat Daerah</t>
  </si>
  <si>
    <t>Sub Kegiatan Koordinasi dan Penyusunan Dokumen RKA-SKPD</t>
  </si>
  <si>
    <t>Sub Koordinasi dan Penyusunan Dokumen DPA-SKPD</t>
  </si>
  <si>
    <t>Sub Koordinasi dan Penyusunan Laporan Capaian Kinerja dan Ikhtisar Realisasi Kinerja SKPD</t>
  </si>
  <si>
    <t>Evaluasi Kinerja Perangkat Daerah</t>
  </si>
  <si>
    <t>4.01.04.1.01</t>
  </si>
  <si>
    <t>4.01.04.1.01.01</t>
  </si>
  <si>
    <t>4.01.04.1.01.02</t>
  </si>
  <si>
    <t>4.01.04.1.02</t>
  </si>
  <si>
    <t>4.01.04.1.02.01</t>
  </si>
  <si>
    <t>4.01.04.1.02.02</t>
  </si>
  <si>
    <t>4.01.04.1.02.03</t>
  </si>
  <si>
    <t>4.01.04.1.03</t>
  </si>
  <si>
    <t>4.01.04.1.03.01</t>
  </si>
  <si>
    <t>4.01.04.1.03.02</t>
  </si>
  <si>
    <t>4.01.04.1.03.03</t>
  </si>
  <si>
    <t>4.01.01</t>
  </si>
  <si>
    <t>4.01.01.1.01</t>
  </si>
  <si>
    <t>4.01.01.1.01.01</t>
  </si>
  <si>
    <t>4.01.01.1.01.02</t>
  </si>
  <si>
    <t>4.01.01.1.01.04</t>
  </si>
  <si>
    <t>4.01.01.1.01.06</t>
  </si>
  <si>
    <t>4.01.01.1.01.07</t>
  </si>
  <si>
    <t>4.01.01.1.06.02</t>
  </si>
  <si>
    <t>4.01.01.1.06.05</t>
  </si>
  <si>
    <t>4.01.01.1.06.09</t>
  </si>
  <si>
    <t>Meningkatnya Kualitas Program Kesejahteraan Rakyat</t>
  </si>
  <si>
    <t xml:space="preserve">Meningkatnya Kualitas Pelayanan Publik dan  Implementasi Akuntabilitas Kinerja </t>
  </si>
  <si>
    <t>Terwujudnya Fasilitasi Pelaksanaan Kebijakan Bidang Kesejahteraan Rakyat yang Bersih dan Akuntabel</t>
  </si>
  <si>
    <t>Terwujudnya Tata Kelola Pemerintahan yang Baik</t>
  </si>
  <si>
    <t>T O T A L</t>
  </si>
  <si>
    <t>Indek Reformasi Birokrasi</t>
  </si>
  <si>
    <t>Biro Hukum</t>
  </si>
  <si>
    <t>Provinsi</t>
  </si>
  <si>
    <t>Prediket</t>
  </si>
  <si>
    <t>PREDIKAT AKIP</t>
  </si>
  <si>
    <t>Indek Kepuasan Masyarakat (IKM)</t>
  </si>
  <si>
    <t>Indeks</t>
  </si>
  <si>
    <t>77 Nilai</t>
  </si>
  <si>
    <t>78 Nilai</t>
  </si>
  <si>
    <t>79 Nilai</t>
  </si>
  <si>
    <t>80 Nilai</t>
  </si>
  <si>
    <t>81 Nilai</t>
  </si>
  <si>
    <t>Nilai SAKIP</t>
  </si>
  <si>
    <t>4 Dok</t>
  </si>
  <si>
    <t>Sub     Kegiatan     Koordinasi    dan</t>
  </si>
  <si>
    <t>Jumlah dokumen RKA SKPD dan Laporan hasil</t>
  </si>
  <si>
    <t>2 Dok</t>
  </si>
  <si>
    <t>Penyusunan Dokumen RKA-SKPD</t>
  </si>
  <si>
    <t>Koordinasi Penyusunan Dokumen RKA SKPD</t>
  </si>
  <si>
    <t>Sub     Kegiatan     Koordinasi    dan Penyusunan   Dokumen   Perubahan RKA-SKPD</t>
  </si>
  <si>
    <t>Jumlah Dokumen Perubahan RKA-SKPD dan</t>
  </si>
  <si>
    <t>laporan hasil koordinasi penyusunan dokumen</t>
  </si>
  <si>
    <t>Perubahan RKA SKPD</t>
  </si>
  <si>
    <t>Jumlah dokumen DPA SKPD dan Laporan Hasil</t>
  </si>
  <si>
    <t>Penyusunan DPA-SKPD</t>
  </si>
  <si>
    <t>Koordinasi Penyusunan Dokumen DPA SKPD</t>
  </si>
  <si>
    <t>Jumlah Dokumen Perubahan DPA-SKPD dan</t>
  </si>
  <si>
    <t>Penyusunan Perubahan DPA-SKPD</t>
  </si>
  <si>
    <t>Perubahan DPA SKPD</t>
  </si>
  <si>
    <t>Sub     Kegiatan     Koordinasi    dan Penyusunan      Laporan      Capaian Kinerja dan Ikhtisar Realisasi Kinerja SKPD</t>
  </si>
  <si>
    <t>Jumlah Laporan  Capaian Kinerja  dan Ikhtisar</t>
  </si>
  <si>
    <t>6 Dok</t>
  </si>
  <si>
    <t>realisasi Kinerja SKPD dan laporan hasil</t>
  </si>
  <si>
    <t>koordinasi Laporan  Capaian Kinerja  dan</t>
  </si>
  <si>
    <t>Ikhtisar realisasi Kinerja SKPD</t>
  </si>
  <si>
    <t>Indeks Kepuasan Masyarakat Biro Hukum</t>
  </si>
  <si>
    <t>Sub Kegiatan Penyediaan Peralatan</t>
  </si>
  <si>
    <t>Jumlah Paket Peralatan dan Perlengkapan</t>
  </si>
  <si>
    <t>3 paket</t>
  </si>
  <si>
    <t>dan Perlengkapan Kantor</t>
  </si>
  <si>
    <t>Kantor yang disediakan</t>
  </si>
  <si>
    <t>Sub Kegiatan Penyediaan Barang</t>
  </si>
  <si>
    <t>Jumlah Paket Barang Cetakan dan</t>
  </si>
  <si>
    <t>-</t>
  </si>
  <si>
    <t>Cetakan dan Penggandaan</t>
  </si>
  <si>
    <t>Penggandaan yang disediakan</t>
  </si>
  <si>
    <t>Jumlah Dokumen Bahan Bacaan dan Peraturan</t>
  </si>
  <si>
    <t>Perundang-undangan yang disediakan</t>
  </si>
  <si>
    <t>Sub Kegiatan Penyelenggaraan</t>
  </si>
  <si>
    <t>Jumlah Laporan Penyelenggaraan Rapat</t>
  </si>
  <si>
    <t>12 Paket</t>
  </si>
  <si>
    <t>Rapat Koordinasi dan Konsultasi</t>
  </si>
  <si>
    <t>Koordinasi dan Konsultasi SKPD</t>
  </si>
  <si>
    <t>Sub Kegiatan Penyediaan Jasa Surat</t>
  </si>
  <si>
    <t>Jumlah Laporan Penyediaan Jasa Surat</t>
  </si>
  <si>
    <t>Menyurat</t>
  </si>
  <si>
    <t>Terwujudnya penataan produk hukum daerah</t>
  </si>
  <si>
    <t>Meningkatnya Harmonisasi dan sinkronisasi Kebijakan daerah yang sesuai dengan Peraturan Perundang- undangan dan kebutuhan masyarakat</t>
  </si>
  <si>
    <t>Indeks Kualitas Kebijakan</t>
  </si>
  <si>
    <t>Meningkatnya Kualitas Produk Hukum Daerah</t>
  </si>
  <si>
    <t>PROGRAM FASILITASI DAN KOORDINASI HUKUM</t>
  </si>
  <si>
    <t>Persentase Produk Hukum  sesuai dengan peraturan perundang-undangan yang lebih tinggi</t>
  </si>
  <si>
    <t>Persentase Permasalahan Hukum yang Difasilitasi</t>
  </si>
  <si>
    <t>Persentase Capaian Rencana Aksi HAM</t>
  </si>
  <si>
    <t>Meningkatnya Fasilitasi dan Koordinasi Penyusunan Perundang- undangan Daerah</t>
  </si>
  <si>
    <t>4.01.02.1.01</t>
  </si>
  <si>
    <t>Kegiatan Fasilitasi Penyusunan Perundang-undangan</t>
  </si>
  <si>
    <t>Persentase Penyusunan Produk Hukum yang difasilitasi</t>
  </si>
  <si>
    <t>Sub  Kegiatan  Fasilitasi  Penyusunan Produk Hukum  Pengaturan</t>
  </si>
  <si>
    <t>Jumlah Produk Hukum pengaturan yang disusun</t>
  </si>
  <si>
    <t>50 Dok</t>
  </si>
  <si>
    <t>Sub  Kegiatan  Fasilitasi  Penyusunan Produk Hukum Daerah Penetapan</t>
  </si>
  <si>
    <t>Jumlah Produk Hukum penetapan yang disusun</t>
  </si>
  <si>
    <t>610 Dok</t>
  </si>
  <si>
    <t>600 Dok</t>
  </si>
  <si>
    <t>Sub    Kegiatan    Pendokumentasian Produk  Hukum  dan  Naskah  Hukum lainnya</t>
  </si>
  <si>
    <t>Jumlah  produk  hukum  yang  didokumentasikan dan dikelola informasi hukumnya</t>
  </si>
  <si>
    <t>650 Dok</t>
  </si>
  <si>
    <t>660 Dok</t>
  </si>
  <si>
    <t>Sub Kegiatan Fasilitasi dan Evaluasi Produk Hukum Kabupaten/Kota</t>
  </si>
  <si>
    <t>Jumlah produk hukum kabupaten/kota yang difasilitasi dan dievaluasi</t>
  </si>
  <si>
    <t>90 Dok</t>
  </si>
  <si>
    <t>Meningkatnya Fasilitasi Bantuan Hukum</t>
  </si>
  <si>
    <t>4.01.02.1.02</t>
  </si>
  <si>
    <t>Kegiatan  Fasilitasi Bantuan Hukum</t>
  </si>
  <si>
    <t>Persentase Permasalahan Hukum dan HAM yang difasilitasi</t>
  </si>
  <si>
    <t>Sub Kegiatan Fasilitasi Penyelesaian Masalah Hukum</t>
  </si>
  <si>
    <t>Jumlah masalah hukum yang diselesaikan</t>
  </si>
  <si>
    <t>10 kasus</t>
  </si>
  <si>
    <t>Sub Kegiatan Fasilitasi Penyelesaian Masalah Non Litigasi dan HAM</t>
  </si>
  <si>
    <t>Jumlah  masalah  non  litigasi   dan  HAM  yang diselesaikan</t>
  </si>
  <si>
    <t>5 kasus</t>
  </si>
  <si>
    <r>
      <rPr>
        <sz val="8"/>
        <rFont val="Times New Roman"/>
        <family val="1"/>
      </rPr>
      <t>Sub Kegiatan Penyusunan Dokumen
Perencanaan Perangkat Daerah</t>
    </r>
  </si>
  <si>
    <r>
      <rPr>
        <sz val="8"/>
        <rFont val="Times New Roman"/>
        <family val="1"/>
      </rPr>
      <t>Jumlah Dokumen Perencanaan Perangkat
Daerah</t>
    </r>
  </si>
  <si>
    <r>
      <rPr>
        <b/>
        <sz val="8"/>
        <rFont val="Times New Roman"/>
        <family val="1"/>
      </rPr>
      <t>100
Persen</t>
    </r>
  </si>
  <si>
    <r>
      <rPr>
        <b/>
        <sz val="8"/>
        <rFont val="Times New Roman"/>
        <family val="1"/>
      </rPr>
      <t>80
Indeks</t>
    </r>
  </si>
  <si>
    <t>5 Lap</t>
  </si>
  <si>
    <t>2 Lap</t>
  </si>
  <si>
    <t>18 Dok</t>
  </si>
  <si>
    <t>12 Dok</t>
  </si>
  <si>
    <t>15 Dok</t>
  </si>
  <si>
    <t>10 Dok</t>
  </si>
  <si>
    <t>Biro Perekonomian</t>
  </si>
  <si>
    <t>IKM / Nilai SAKIP</t>
  </si>
  <si>
    <t>Jumlah Laporan Capaian Kinerja dan Ikhtisar Realisasi Kinerja SKPD dan Laporan Hasil Koordinasi Penyusunan Laporan Capaian Kinerja dan Ikhtisar Realisasi Kinerja SKPD</t>
  </si>
  <si>
    <t>Jumlah Paket Barang Cetakan dan Penggandaan yang Disediakan</t>
  </si>
  <si>
    <t>Persentase Laporan Perekonomian dan Pembangunan yang dilaksanakan</t>
  </si>
  <si>
    <t xml:space="preserve">	Persentase Laporan sumber daya alam yang dilakukan</t>
  </si>
  <si>
    <t>Meningkatnya Pengelolaan Kebijakan dan Koordinasi BUMD dan BLUD</t>
  </si>
  <si>
    <t xml:space="preserve">Persentasi percepatan kebijakan masalah perekonomian </t>
  </si>
  <si>
    <t xml:space="preserve">Jumlah Dokumen Hasil Pengelolaan Kebijakan Ekonomi Makro </t>
  </si>
  <si>
    <t>Jumlah Dokumen Hasil Pengelolaan Kebijakan Ekonomi Mikro</t>
  </si>
  <si>
    <t>Persentasi percepatan kebijakan masalah SDA</t>
  </si>
  <si>
    <t xml:space="preserve">Jumlah Dokumen Hasil Koordinasi, Sinkronisasi dan Evaluasi Kebijakan Pertanian, Kehutanan, Kelautan, dan Perikanan </t>
  </si>
  <si>
    <t xml:space="preserve">Jumlah Dokumen Hasil Koordinasi, Sinkronisasi dan Evaluasi Kebijakan Pertambangan dan Lingkungan Hidup </t>
  </si>
  <si>
    <t xml:space="preserve"> Jumlah Dokumen Hasil Koordinasi, Sinkronisasi dan Evaluasi Kebijakan   Energi dan Air</t>
  </si>
  <si>
    <t>Persentasi percepatan kebijakan masalah BUMD dan BLUD</t>
  </si>
  <si>
    <t xml:space="preserve">Jumlah Dokumen Hasil Koordinasi, Sinkronisasi, Monitoring, dan Evaluasi Kebijakan Pengelolaan Badan Usaha Milik Daerah Jasa Keuangan dan Aneka Usaha </t>
  </si>
  <si>
    <t>Jumlah Dokumen Hasil Koordinasi, Sinkronisasi, Monitoring, dan Evaluasi Kebijakan Pengelolaan Badan Usaha Milik Daerah Air Minum, Limbah dan Sanitasi</t>
  </si>
  <si>
    <t xml:space="preserve">Jumlah Dokumen Bidang BLUD yang difasilitasi di Provinsi Jambi </t>
  </si>
  <si>
    <t>PROGRAM PENUNJANG URUSAN PEMERINTAHAN DAERAH PROVINSI</t>
  </si>
  <si>
    <t>Kegiatan Perencanaan, Penganggaran dan Evaluasi Kinerja Perangkat Daerah</t>
  </si>
  <si>
    <t>Sub Kegiatan Koordinasi dan Penyusunan Laporan Capaian Kinerja dan Ikhtisar Realisasi Kinerja SKPD</t>
  </si>
  <si>
    <t>Sub Kegiatan Evaluasi Kinerja Perangkat Daerah</t>
  </si>
  <si>
    <t>Kegiatan Administrasi Umum Perangkat Daerah</t>
  </si>
  <si>
    <t>Sub Kegiatan Penyelenggaraan Rapat Koordinasi dan Konsultasi SKPD</t>
  </si>
  <si>
    <t>Sub Kegiatan Penyediaan Barang Cetakan dan Penggandaan</t>
  </si>
  <si>
    <t>Sub Kegiatan Penyediaan Peralatan dan Perlengkapan Kantor</t>
  </si>
  <si>
    <t>PROGRAM PEREKONOMIAN DAN PEMBANGUNAN</t>
  </si>
  <si>
    <t>Kegiatan Pengelola Kebijakan dan Koordinasi Perekonomian</t>
  </si>
  <si>
    <t>Sub Kegiatan Fasilitasi Pengelolaan Kebijakan Ekonomi Makro</t>
  </si>
  <si>
    <t>Sub Kegiatan Fasilitasi Pengelolaan Kebijakan Ekonomi Mikro</t>
  </si>
  <si>
    <t>Kegiatan Pengelola kebijakan koordinasi SDA</t>
  </si>
  <si>
    <t>Sub Kegiatan Koordinasi, Sinkronisasi dan Evaluasi Kebijakan Pertanian, Kehutanan, Kelautan, dan Perikanan</t>
  </si>
  <si>
    <t>Sub Kegiatan Koordinasi, Sinkronisasi dan Evaluasi Kebijakan Pertambangan dan Lingkungan Hidup</t>
  </si>
  <si>
    <t>Sub Kegiatan Koordinasi, Sinkronisasi dan Evaluasi Kebijakan Energi dan Air</t>
  </si>
  <si>
    <t>Kegiatan Pengelolaan Kebijakan dan koordinasi BUMD dan BLUD</t>
  </si>
  <si>
    <t>Sub Kegiatan Koordinasi, Sinkronisasi, Monitoring, dan Evaluasi Kebijakan Pengelolaan Badan Usaha Milik Daerah Jasa Keuangan dan Aneka Usaha</t>
  </si>
  <si>
    <t>Sub Kegiatan Koordinasi, Sinkronisasi, Monitoring, dan Evaluasi Kebijakan Pengelolaan Badan Usaha Milik Daerah Air Minum, Limbah dan Sanitasi</t>
  </si>
  <si>
    <t>Sub Kegiatan Koordinasi, Sinkronisasi, Monitoring, dan Evaluasi Kebijakan Pengelolaan Badan Layanan Umum Daerah</t>
  </si>
  <si>
    <t>4.01.01.1.01.0001</t>
  </si>
  <si>
    <t>4.01.01.1.01.0006</t>
  </si>
  <si>
    <t>4.01.01.1.01.0007</t>
  </si>
  <si>
    <t>4.01.06</t>
  </si>
  <si>
    <t>4.01.06.1.01</t>
  </si>
  <si>
    <t>4.01.06.1.01.0001</t>
  </si>
  <si>
    <t>4.01.06.1.01.0002</t>
  </si>
  <si>
    <t>4.01.06.1.02</t>
  </si>
  <si>
    <t>4.01.06.1.02.0001</t>
  </si>
  <si>
    <t>4.01.06.1.02.0002</t>
  </si>
  <si>
    <t>4.01.06.1.02.0003</t>
  </si>
  <si>
    <t>4.01.06.1.03</t>
  </si>
  <si>
    <t>4.01.06.1.03.0001</t>
  </si>
  <si>
    <t>4.01.06.1.03.0002</t>
  </si>
  <si>
    <t>4.01.06.1.03.0004</t>
  </si>
  <si>
    <t>Meningkatnya Tata Kelola Pemerintahan Yang Baik</t>
  </si>
  <si>
    <t>Meningkatnya Kualitas Pelayanan Publik dan Akuntabilitas Kinerja</t>
  </si>
  <si>
    <t>Meningkatkan Pertumbuhan Ekonomi</t>
  </si>
  <si>
    <t>Meningkatnya Implementasi Kebijakan Perekonomian di Provinsi Jambi</t>
  </si>
  <si>
    <t>Dokumen</t>
  </si>
  <si>
    <t>4 Dokumen</t>
  </si>
  <si>
    <t>45 Laporan</t>
  </si>
  <si>
    <t>12 Laporan</t>
  </si>
  <si>
    <t>45 Dokumen</t>
  </si>
  <si>
    <t>6Paket</t>
  </si>
  <si>
    <t>4 Paket</t>
  </si>
  <si>
    <t>90 Unit</t>
  </si>
  <si>
    <t>17 org</t>
  </si>
  <si>
    <t xml:space="preserve">1.Sakip BB                2.IKM (85) </t>
  </si>
  <si>
    <t>Kegiatan Perencanaan Pengagaran dan evaluasi kinerja Perangkat Daerah</t>
  </si>
  <si>
    <t>Terlaksananya Perencanaan Pengagaran dan evaluasi kinerja Perangkat Daerah</t>
  </si>
  <si>
    <t>Tersusunya dokumen perencanaan perangkat daerah</t>
  </si>
  <si>
    <t>Sub Kegiatan Koordinasi dan Penyusunan Laporan Capaian Kinerja dan Iktisar realisasi Kinerja SKPD</t>
  </si>
  <si>
    <t>Tersedianya laporan capaian kinerja dan iktisar realisasi kinerja SKPD dan laporan hasil koordinasi penyusunan laporan capaiankinerja dan dan iktisar realisasi kinerja SKPD</t>
  </si>
  <si>
    <t>Terlaksananya Evaluasi Kinerja Perangkat Daeah</t>
  </si>
  <si>
    <t>Kegiatan Adminitrasi Barang Milik Daerah</t>
  </si>
  <si>
    <t>Terlaksananya Adminitrasi Barang Milik Daerah</t>
  </si>
  <si>
    <t>Sub Kegiatan Penatausahaan Barang Milik Daerah pada SKPD</t>
  </si>
  <si>
    <t>Terlaksananya Penatausahaan Barang Milik Daerah pada SKPD</t>
  </si>
  <si>
    <t>Kegiatan Adminitrasi Kepegawaian Daerah</t>
  </si>
  <si>
    <t>Terlaksananya  Adminitrasi Kepegawaian Daerah</t>
  </si>
  <si>
    <t>Sub Kegiatan pendataan dan pengolah Adminitrasi Kepegawaian Daerah</t>
  </si>
  <si>
    <t>Terlaksananya pendataan dan pengolah Adminitrasi Kepegawaian Daerah</t>
  </si>
  <si>
    <t>Kegitan Admitrasi Umum Perangkat Daerah</t>
  </si>
  <si>
    <t>Terlaksananya Admitrasi Umum Perangkat Daerah</t>
  </si>
  <si>
    <t>Tersedianya Peralatan dan Perlengkapan Kantor</t>
  </si>
  <si>
    <t>Sub Kegiatan Penyediaan Bahan Logistik Kantor</t>
  </si>
  <si>
    <t>Tersedia Bahan Logistik Kantor</t>
  </si>
  <si>
    <t>Sub Kegiatan Penyediaan Barang cetakan dan Penggandaan</t>
  </si>
  <si>
    <t>Tersedianya Barang cetakan dan Penggandaan</t>
  </si>
  <si>
    <t>Tercapainya Rapat - Rapat Koordinasi dan Konsultasi SKPD</t>
  </si>
  <si>
    <t>Sub Kegiatan Penatatausahan Arsip Dinamis pada SKPD</t>
  </si>
  <si>
    <t>Terlaksananya Penatatausahan Arsip Dinamis pada SKPD</t>
  </si>
  <si>
    <t>Kegitan Penyediaan jasa Penunjang Urusan Pemerintah Daerah</t>
  </si>
  <si>
    <t>Terlaksananya Penyediaan jasa Penunjang Urusan Pemerintah Daerah</t>
  </si>
  <si>
    <t>Sub Kegiatan Penyediaan Jasa Surat Menyurat</t>
  </si>
  <si>
    <t>Tercapainya Penataan Adminitrasi dan Jasa Surat Menyurat</t>
  </si>
  <si>
    <t>Kegiatan Pemeliharaan Barang Milik Daerah Urusan Pemerintah Daerah</t>
  </si>
  <si>
    <t>Terlaksananya Pemeliharaan Peralatan dan Mesin lainya</t>
  </si>
  <si>
    <t>Sub Kegiatan Pemeliharaan Peralatan dan Mesin lainya</t>
  </si>
  <si>
    <t>PROGRAM KEBIJAKAN DAN PELAYANAN PENGADAAN BARANG DAN JASA</t>
  </si>
  <si>
    <t xml:space="preserve"> </t>
  </si>
  <si>
    <t>Kegiatan Pengelolaan Pengadaan Barang dan Jasa</t>
  </si>
  <si>
    <t>Terlaksananya Pengelolaan Pengadaan Barang dan Jasa</t>
  </si>
  <si>
    <t>Sub Kegiatan Pengelolaan Strategi Pengadaan Barang dan Jasa</t>
  </si>
  <si>
    <t>Terlaksananya Strategi Pengadaan Barang dan Jasa</t>
  </si>
  <si>
    <t>Sub Kegiatan Pelaksanaan Pengadaan Barang dan Jasa</t>
  </si>
  <si>
    <t>Terlaksananya PelaksanaanPengadaan Barang dan Jasa</t>
  </si>
  <si>
    <t>Sub Kegiatan Pemantauan dan Evaluasi Pengadaan Barang dan Jasa</t>
  </si>
  <si>
    <t>Telaksanaya Pemantauan dan Evaluasi Pengadaan Barang dan Jasa</t>
  </si>
  <si>
    <t>Kegiatan Pengelolaan Layanan Pengadaan Secara Elektronik</t>
  </si>
  <si>
    <t>Terlaksananya Pengelolaan Layanan Pengadaan Secara Elektronik</t>
  </si>
  <si>
    <t>Sub Kegiatan Pengelolaan Sistem Pengadaan Secara Elektronik</t>
  </si>
  <si>
    <t>Terlaksananya Pengelolaan Sistem Pengadaan Secara Elektronik</t>
  </si>
  <si>
    <t xml:space="preserve">Sub Kegiatan Pengembangan Soistem Informasi Pengadaan Barang dan Jasa </t>
  </si>
  <si>
    <t xml:space="preserve">Terlaksananya Pengembangan Soistem Informasi Pengadaan Barang dan Jasa </t>
  </si>
  <si>
    <t xml:space="preserve">Sub Kegiatan Pengelolaan Informasi Pengadaan Barang dan Jasa </t>
  </si>
  <si>
    <t xml:space="preserve">Terlaksananya Informasi Pengadaan Barang dan Jasa </t>
  </si>
  <si>
    <t>Kegiatan Pembinaan dan Advokasi Pengadaan Barang dan Jasa</t>
  </si>
  <si>
    <t>Terlaksanaya Pembinaan dan Advokasi Pengadaan Barang dan Jasa</t>
  </si>
  <si>
    <t xml:space="preserve">Sub Kegiatan Pembinaan Sumberdaya Manusia Pengadaan Barang dan Jasa </t>
  </si>
  <si>
    <t xml:space="preserve">Terlaksananya  Sumberdaya Manusia Pengadaan Barang dan Jasa </t>
  </si>
  <si>
    <t xml:space="preserve">Sub Kegiatan Pembinaan Kelembagaa Pengadaan Barang dan Jasa </t>
  </si>
  <si>
    <t xml:space="preserve">Terlaksananya PembinaanKelembagaa Pengadaan Barang dan Jasa </t>
  </si>
  <si>
    <t xml:space="preserve">Sub Kegiatan Pendampingan, Konsultasi dan/atauBimbingan Teknis Pengadaan Barang dan Jasa </t>
  </si>
  <si>
    <t xml:space="preserve">Terlaksananya Pendampingan, Konsultasi dan/atauBimbingan Teknis Pengadaan Barang dan Jasa </t>
  </si>
  <si>
    <t>Terwujudnya Tata Kelola Pengadaan Barang / Jasa yang berkualitas</t>
  </si>
  <si>
    <t>Meningkatnya Informasi Pengadaan Barang / Jasa Pemerintah Secara Elektronik</t>
  </si>
  <si>
    <t>4.01.01.1.03</t>
  </si>
  <si>
    <t>4.01.01.1.03.06</t>
  </si>
  <si>
    <t>4.01.01.1.05</t>
  </si>
  <si>
    <t>4.01.01.1.05.03</t>
  </si>
  <si>
    <t>4.01.01.1.06.04</t>
  </si>
  <si>
    <t>4.01.01.1.06.10</t>
  </si>
  <si>
    <t>4.01.01.1.08</t>
  </si>
  <si>
    <t>4.01.01.1.08.01</t>
  </si>
  <si>
    <t>4.01.01.1.09</t>
  </si>
  <si>
    <t>4.01.01.1.09.06</t>
  </si>
  <si>
    <t>Meningkatnya Layanan Adminitrasi Pengadaan Barang/Jasa Pemerintah</t>
  </si>
  <si>
    <t>4.01.07</t>
  </si>
  <si>
    <t>4.01.07.1.01</t>
  </si>
  <si>
    <t>4.01.07.1.01.01</t>
  </si>
  <si>
    <t>4.01.07.1.01.02</t>
  </si>
  <si>
    <t>4.01.07.1.01.03</t>
  </si>
  <si>
    <t>4.01.07.1.02</t>
  </si>
  <si>
    <t>4.01.07.1.02.01</t>
  </si>
  <si>
    <t>4.01.07.1.02.02</t>
  </si>
  <si>
    <t>4.01.07.1.02.03</t>
  </si>
  <si>
    <t>4.01.07.1.03</t>
  </si>
  <si>
    <t>4.01.07.1.03.01</t>
  </si>
  <si>
    <t>4.01.07.1.03.02</t>
  </si>
  <si>
    <t>4.01.07.1.03.03</t>
  </si>
  <si>
    <t xml:space="preserve">1. IKM : 81 </t>
  </si>
  <si>
    <t xml:space="preserve">1. IKM : 82    </t>
  </si>
  <si>
    <t xml:space="preserve">1. IKM : 83 </t>
  </si>
  <si>
    <t xml:space="preserve">1. IKM : 84 </t>
  </si>
  <si>
    <t xml:space="preserve">1. IKM : 85 </t>
  </si>
  <si>
    <t>2. AKIP : 72</t>
  </si>
  <si>
    <t>2. AKIP : 73</t>
  </si>
  <si>
    <t>2. AKIP : 74</t>
  </si>
  <si>
    <t>2. AKIP : 75</t>
  </si>
  <si>
    <t>2. AKIP : 77,5</t>
  </si>
  <si>
    <t xml:space="preserve">2 dokumen </t>
  </si>
  <si>
    <t>1 dokumen</t>
  </si>
  <si>
    <t>4 Laporan</t>
  </si>
  <si>
    <t>1paket</t>
  </si>
  <si>
    <t>2 paket</t>
  </si>
  <si>
    <t>70 Laporan</t>
  </si>
  <si>
    <t>75 Laporan</t>
  </si>
  <si>
    <t>80 Laporan</t>
  </si>
  <si>
    <t>100.0%</t>
  </si>
  <si>
    <t>4 laporan</t>
  </si>
  <si>
    <t>4 dokumen</t>
  </si>
  <si>
    <t xml:space="preserve">1. IKM : 80,50 </t>
  </si>
  <si>
    <t>2. AKIP : 70,25</t>
  </si>
  <si>
    <t>Terwujudnya tata kelola pemerintahan yang akuntabel, adaptif dan demokratis</t>
  </si>
  <si>
    <t xml:space="preserve">1. Indeks Kepuasan Masyarakat (IKM) </t>
  </si>
  <si>
    <t>2. Predikat AKIP</t>
  </si>
  <si>
    <t>Perencanaan, Penganggaran, dan Evaluasi Kinerja Perangkat Daerah</t>
  </si>
  <si>
    <t>Persentase Pemenuhan Dokumen Perencanaan, Penganggaran dan Evaluasi Kinerja Perangkat Daerah</t>
  </si>
  <si>
    <t xml:space="preserve">Penyusunan Dokumen Perencanaan Perangkat Daerah </t>
  </si>
  <si>
    <t>Koordinasi  dan Penyusunan Dokumen RKA-SKPD</t>
  </si>
  <si>
    <t>Jumlah Dokumen RKA-SKPD dan Laporan Hasil  Koordinasi Penyusunan Dokumen RKA-SKPD</t>
  </si>
  <si>
    <t>4.01.01.1.01.03</t>
  </si>
  <si>
    <t>Koordinasi  dan Penyusunan Dokumen Perubahan RKA-SKPD</t>
  </si>
  <si>
    <t>Jumlah Dokumen RKA-SKPD dan Laporan Hasil  Koordinasi Penyusunan Dokumen Perubahan RKA-SKPD</t>
  </si>
  <si>
    <t>Koordinasi dan Penyusunan DPA-SKPD</t>
  </si>
  <si>
    <t>Jumlah Dokumen DPA-SKPD dan Laporan Hasil  Koordinasi Penyusunan Dokumen DPA-SKPD</t>
  </si>
  <si>
    <t>4.01.01.1.01.05</t>
  </si>
  <si>
    <t>Koordinasi dan Penyusunan perubahan DPA-SKPD</t>
  </si>
  <si>
    <t>Jumlah Dokumen DPA-SKPD dan Laporan Hasil  Koordinasi Penyusunan Dokumen Perubahan DPA-SKPD</t>
  </si>
  <si>
    <t xml:space="preserve">Evaluasi Kinerja Perangkat Daerah </t>
  </si>
  <si>
    <t xml:space="preserve">Jumlah Laporan Evaluasi Kinerja Perangkat Daerah </t>
  </si>
  <si>
    <t>Adminstrasi Umum Perangkat Daerah</t>
  </si>
  <si>
    <t>Persentase Pemenuhan Layanan Administrasi Umum</t>
  </si>
  <si>
    <t>Jumlah Paket Peralatan dan Perlengkapan Kantor yang disediakan</t>
  </si>
  <si>
    <t>jumlah Paket Barang Cetakan dan Penggandaan yang disediakan</t>
  </si>
  <si>
    <t>Penyelengaraan Rapat Koordinasi dan Konsultasi SKPD</t>
  </si>
  <si>
    <t>Penyediaan Jasa Penunjang Urusan Pemerintahan Daerah</t>
  </si>
  <si>
    <t>Persentase Pemenuhan Penyediaan Jasa Penunjang Urusan Pemerintah Daerah</t>
  </si>
  <si>
    <t>4.01.01.1.08.03</t>
  </si>
  <si>
    <t>Penyediaan Jasa Peralatan dan Perlengkapan Kantor</t>
  </si>
  <si>
    <t>Jumlah Laporan Penyediaan Jasa Peralatan dan Perlengkapan Kantor yang disediakan</t>
  </si>
  <si>
    <t>4.01.08</t>
  </si>
  <si>
    <t>Program Kebijakan Administrasi Pembangunan</t>
  </si>
  <si>
    <t>Persentase Implementasi Kebijakan Bidang Pembangunan yang dilaksanakan</t>
  </si>
  <si>
    <t>4.01.08.1.01</t>
  </si>
  <si>
    <t>Pengendalian Administrasi Pelaksanaan Pembangunan Daerah</t>
  </si>
  <si>
    <t>Persentase Kinerja Pengendalian Pelaksanaan Pembangunan Daerah</t>
  </si>
  <si>
    <t>4.01.08.1.01.01</t>
  </si>
  <si>
    <t>Pengendalian Administrasi Pelaksanaan Pembangunan APBD</t>
  </si>
  <si>
    <t>Jumlah Laporan Hasil Pengendalian Administrasi Pelaksanaan Pembangunan APBD</t>
  </si>
  <si>
    <t>4.01.08.1.01.02</t>
  </si>
  <si>
    <t>Jumlah Laporan Hasil Pengendalian Administrasi Pelaksanaan Pembangunan APBN</t>
  </si>
  <si>
    <t>4.01.08.1.01.03</t>
  </si>
  <si>
    <t>Pengendalian Administrasi Pelaksanaan Pembangunan Wilayah</t>
  </si>
  <si>
    <t>Jumlah Laporan Hasil Pengendalian Administrasi Pelaksanaan Pembangunan Wilayah</t>
  </si>
  <si>
    <t>4.01.08.1.02</t>
  </si>
  <si>
    <t>Pelaporan Pelaksanaan Pembangunan Daerah</t>
  </si>
  <si>
    <t xml:space="preserve">Persentase Kinerja Pelaporan Pelaksanaan Pembangunan Daerah </t>
  </si>
  <si>
    <t>4.01.08.1.02.01</t>
  </si>
  <si>
    <t>Analisis Capaian Kinerja Pembangunan Daerah</t>
  </si>
  <si>
    <t xml:space="preserve">Jumlah Dokumen Hasil Analisis Capaian Kinerja Pembangunan Daerah yang disediakan </t>
  </si>
  <si>
    <t>4.01.08.1.02.02</t>
  </si>
  <si>
    <t>Jumlah Laporan Hasil Pelaksanaan Pembangunan Daerah</t>
  </si>
  <si>
    <t>4.01.08.1.02.03</t>
  </si>
  <si>
    <t>Fasilitasi Perumusan Kebijakan Teknis Pembangunan Daerah</t>
  </si>
  <si>
    <t>Jumlah Dokumen Hasil Fasilitasi Perumusan Kebijakan Teknis</t>
  </si>
  <si>
    <t xml:space="preserve">Biro Administrasi Pembangunan </t>
  </si>
  <si>
    <t>1.0</t>
  </si>
  <si>
    <t>1 paket</t>
  </si>
  <si>
    <t>355 Laporan</t>
  </si>
  <si>
    <t>79,40</t>
  </si>
  <si>
    <t>79,41</t>
  </si>
  <si>
    <t>79,43</t>
  </si>
  <si>
    <t>79,45</t>
  </si>
  <si>
    <t>79,46</t>
  </si>
  <si>
    <t>90,01</t>
  </si>
  <si>
    <t>90,05</t>
  </si>
  <si>
    <t>90,07</t>
  </si>
  <si>
    <t>90,08</t>
  </si>
  <si>
    <t>37,18</t>
  </si>
  <si>
    <t>37,19</t>
  </si>
  <si>
    <t>37,20</t>
  </si>
  <si>
    <t>37,22</t>
  </si>
  <si>
    <t>37,24</t>
  </si>
  <si>
    <t>73,08</t>
  </si>
  <si>
    <t>27,90</t>
  </si>
  <si>
    <t>32,55</t>
  </si>
  <si>
    <t>34,88</t>
  </si>
  <si>
    <t>39,53</t>
  </si>
  <si>
    <t>69,76</t>
  </si>
  <si>
    <t>74,41</t>
  </si>
  <si>
    <t>81,39</t>
  </si>
  <si>
    <t>93,02</t>
  </si>
  <si>
    <t>1</t>
  </si>
  <si>
    <t>37,01</t>
  </si>
  <si>
    <t>93,75</t>
  </si>
  <si>
    <t>25,58</t>
  </si>
  <si>
    <t>58,13</t>
  </si>
  <si>
    <t>Biro Organisasi Setda Provinsi Jambi</t>
  </si>
  <si>
    <t>4 Lap</t>
  </si>
  <si>
    <t>90,08 Indeks</t>
  </si>
  <si>
    <t>65 Paket</t>
  </si>
  <si>
    <t>37,24 Indeks</t>
  </si>
  <si>
    <t>100 Persen</t>
  </si>
  <si>
    <t>1 Dok</t>
  </si>
  <si>
    <t>- Persen</t>
  </si>
  <si>
    <t>39,53 Persen</t>
  </si>
  <si>
    <t>86 Persen</t>
  </si>
  <si>
    <t>PREDIKAT SAKIP BIRO</t>
  </si>
  <si>
    <t>Nilai SAKIP Biro</t>
  </si>
  <si>
    <t>Indeks Kepuasan Masyarakat Biro Organisasi</t>
  </si>
  <si>
    <t>Jumlah Paket peralatan rumah tangga  yang disediakan</t>
  </si>
  <si>
    <t>Jumlah Paket Barang Cetakan dan Penggandaan yang disediakan</t>
  </si>
  <si>
    <t>TINGKAT KEMATANGAN PERANGKAT DAERAH</t>
  </si>
  <si>
    <t>Persentase Perangkat Daerah Provinsi yang ditata Kelembagaannya</t>
  </si>
  <si>
    <t>Persentase Kab/Kota yang ditata Kelembagaannya</t>
  </si>
  <si>
    <t>Persentase Perangkat Daerah yang menggunakan Analisis Jabatan dan Analisis Beban Kerja sebagai Dasar Penataan Kepegawaian</t>
  </si>
  <si>
    <t>Jumlah Dokumen hasil Penataan Kelembagaan Perangkat Daerah Provinsi</t>
  </si>
  <si>
    <t>Jumlah Dokumen hasil Fasilitasi Penataan Kelembagaan Kab/Kota</t>
  </si>
  <si>
    <t>Jumlah Dokumen hasil Pelaksanaan Analisis Jabatan, Analisis Beban Kerja dan Evaluasi Jabatan</t>
  </si>
  <si>
    <t>Persentase Pemenuhan Penilaian Kegiatan Utama RB</t>
  </si>
  <si>
    <t>Persentase Perangkat daerah dengan Predikat SAKIP minimal "BB''</t>
  </si>
  <si>
    <t>Persentase Perangkat Daerah Lingkup Pemerintah Provinsi Jambi yang telah menerapkan Budaya Kerja</t>
  </si>
  <si>
    <t>Persentase Perangkat Daerah yang telah melaksanakan Ketatalaksanaan sesuai aturan</t>
  </si>
  <si>
    <t>Persentase Unit Pelayanan Publik Provinsi Jambi dengan Hasil Survei Kepuasan Masyarakat Kategori sangat Baik</t>
  </si>
  <si>
    <t>Jumlah Dokumen hasil  Pelaksanaan Reformasi Birokrasi</t>
  </si>
  <si>
    <t>Jumlah Dokumen hasil Monitoring dan Evaluasi Akuntabilitas Kinerja</t>
  </si>
  <si>
    <t>Jumlah Laporan hasil Evaluasi Pelaksanaan Budaya Kerja</t>
  </si>
  <si>
    <t>Jumlah Dokumen hasil Pengelolaan Tatalaksana Pemerintahan</t>
  </si>
  <si>
    <t>Jumlah Dokumen hasil Fasilitasi Peningkatan Pelayanan Publik</t>
  </si>
  <si>
    <t>Kegiatan Perencanaan, Penganggaran, dan Evaluasi Kinerja Perangkat Daerah</t>
  </si>
  <si>
    <t xml:space="preserve"> Sub Koordinasi dan Penyusunan Dokumen DPA-SKPD</t>
  </si>
  <si>
    <t>Sub Kegiatan Penyediaan Peralatan Rumah Tangga</t>
  </si>
  <si>
    <t>Kegiatan Penyediaan Jasa Penunjang Urusan Pemerintahan Daerah</t>
  </si>
  <si>
    <t>Sub Kegiatan Penyediaan Jasa Peralatan dan Perlengkapan Kantor</t>
  </si>
  <si>
    <t>PROGRAM PENATAAN ORGANISASI</t>
  </si>
  <si>
    <t>Kegiatan Fasilitasi Kelembagaan dan Analisis Jabatan</t>
  </si>
  <si>
    <t>Sub Kegiatan Fasilitasi Penataan Kelembagaan Provinsi</t>
  </si>
  <si>
    <t>Sub Kegiatan Fasilitasi Penataan Kelembagaan Kabupaten/Kota</t>
  </si>
  <si>
    <t>Sub Kegiatan Penataan Analisis Jabatan</t>
  </si>
  <si>
    <t>Kegiatan Fasilitasi Reformasi Birokrasi dan Akuntabilitas Kinerja</t>
  </si>
  <si>
    <t xml:space="preserve"> Sub Kegiatan Pembinaan Pelaksanaan Reformasi Birokrasi</t>
  </si>
  <si>
    <t>Sub Kegiatan Monitoring dan Evaluasi Akuntabilitas Kinerja</t>
  </si>
  <si>
    <t>Sub Kegiatan Evaluasi Pelaksanaan Budaya Kerja</t>
  </si>
  <si>
    <t>Sub Kegiatan Pengelolaan Tatalaksana Pemerintahan</t>
  </si>
  <si>
    <t>Sub Kegiatan Fasilitasi Peningkatan Pelayanan Publik</t>
  </si>
  <si>
    <t>01</t>
  </si>
  <si>
    <t>02</t>
  </si>
  <si>
    <t>04</t>
  </si>
  <si>
    <t>06</t>
  </si>
  <si>
    <t>07</t>
  </si>
  <si>
    <t>03</t>
  </si>
  <si>
    <t>05</t>
  </si>
  <si>
    <t>09</t>
  </si>
  <si>
    <t>4.01.02</t>
  </si>
  <si>
    <t>Terwujudnya Tata Kelola Pemerintahan yang bersih,Transparan,dan Akuntabel dengan Penyelenggaraan Publik berkwalitas</t>
  </si>
  <si>
    <t>Meningkatnya kwalitas Implementasi Akuntabilitas Kinerja</t>
  </si>
  <si>
    <t>Meningkatnya Kualitas pelayanan publik</t>
  </si>
  <si>
    <t>Menjadi Institusi Pendorong Terwujudnya Tata dan perilaku penyelenggaraan pemerintah yang demokratis melalui reformasi birokrasi</t>
  </si>
  <si>
    <t>Meningkatnya Birokrasi yang modren melalui efektifitas dan Efesiensi penyelenggaraan Pemerintah</t>
  </si>
  <si>
    <r>
      <t>Indeks Kepuasan Masyarakat Biro O</t>
    </r>
    <r>
      <rPr>
        <b/>
        <sz val="8"/>
        <color rgb="FF000000"/>
        <rFont val="Times New Roman"/>
        <family val="1"/>
      </rPr>
      <t>rganisasi</t>
    </r>
  </si>
  <si>
    <t>Terwujudnya Pelayanan Pimpinan yang Berkualitas dan Akuntabel</t>
  </si>
  <si>
    <t>•	Meningkatnya kualitas Pelayanan Publik dan Akuntabilitas Kinerja</t>
  </si>
  <si>
    <t>biro ADPIM</t>
  </si>
  <si>
    <t>4 01 01 1.01 0007</t>
  </si>
  <si>
    <t>76 Lap</t>
  </si>
  <si>
    <t>4 01 01 1.05</t>
  </si>
  <si>
    <t>Administrasi Kepegawaian Perangkat Daerah</t>
  </si>
  <si>
    <t>Persentase pemenuhan administrasi kepegawaian</t>
  </si>
  <si>
    <t>4 01 01 1.05 0003</t>
  </si>
  <si>
    <t>Pendataan dan Pengolahan Administrasi Kepegawaian</t>
  </si>
  <si>
    <t>Jumlah Dokumen Pendataan dan Pengolahan Administrasi Kepegawaian</t>
  </si>
  <si>
    <t>9 dok</t>
  </si>
  <si>
    <t>4 01 01 1.05 0009</t>
  </si>
  <si>
    <t>Pendidikan dan Pelatihan Pegawai Berdasarkan Tugas dan Fungsi</t>
  </si>
  <si>
    <t>Jumlah Pegawai Berdasarkan Tugas dan Fungsi yang Mengikuti Pendidikan dan Pelatihan</t>
  </si>
  <si>
    <t>76 Orang</t>
  </si>
  <si>
    <t>4 01 01 1.06 0006</t>
  </si>
  <si>
    <t>Penyediaan Bahan Bacaan dan Peraturan Perundang-Undangan</t>
  </si>
  <si>
    <t>Jumlah Dokumen Bahan Bacaan dan Peraturan Perundang- Undangan yang disediakan</t>
  </si>
  <si>
    <t>4 01 01 1.09</t>
  </si>
  <si>
    <t>Pemeliharaan Barang Milik Daerah Penunjang Urusan Pemerintahan Daerah</t>
  </si>
  <si>
    <t>Jumlah peralatan dan mesin yang dipelihara</t>
  </si>
  <si>
    <t>48 unit</t>
  </si>
  <si>
    <t>4 01 01 1.09 0006</t>
  </si>
  <si>
    <t>Pemeliharaan Peralatan dan Mesin Lainnya</t>
  </si>
  <si>
    <t>4 01 01 1.13</t>
  </si>
  <si>
    <t>Fasilitasi Materi dan Komunikasi Pimpinan</t>
  </si>
  <si>
    <t>Persentase Materi, Komunikasi dan Dokumentasi pimpinan yang terfasilitasi</t>
  </si>
  <si>
    <t>4 01 01 1.13 0001</t>
  </si>
  <si>
    <t>Penyiapan Materi Pimpinan</t>
  </si>
  <si>
    <t>Jumlah Dokumen Materi Pimpinan yang disiapkan</t>
  </si>
  <si>
    <t>240 Dok</t>
  </si>
  <si>
    <t>4 01 01 1.13 0002</t>
  </si>
  <si>
    <t>Fasilitasi Komunikasi Pimpinan</t>
  </si>
  <si>
    <t>Jumlah Laporan Hasil Fasilitasi Komunikasi Pimpinan</t>
  </si>
  <si>
    <t>986 Pidato</t>
  </si>
  <si>
    <t>4 01 01 1.13 0003</t>
  </si>
  <si>
    <t>Pengelolaan Dokumentasi Pimpinan</t>
  </si>
  <si>
    <t>Jumlah Laporan Pengelolaan Dokumentasi Pimpinan</t>
  </si>
  <si>
    <t>4 01 01 1.14</t>
  </si>
  <si>
    <t>Fasilitasi Keprotokolan</t>
  </si>
  <si>
    <t>Persentase kegiatan keprotokolan yang difasilitasi</t>
  </si>
  <si>
    <t>4 01 01 1.14 0001</t>
  </si>
  <si>
    <t>Fasilitasi dan Koordinasi Pelaksanaan Acara</t>
  </si>
  <si>
    <t>Jumlah Laporan Hasil Fasilitasi dan Koordinasi Pelaksanaan Acara</t>
  </si>
  <si>
    <t>750 Lap</t>
  </si>
  <si>
    <t>4 01 01 1.14 0002</t>
  </si>
  <si>
    <t>Fasilitasi Kunjungan Tamu Kepala Daerah dan Wakil Kepala Daerah</t>
  </si>
  <si>
    <t>Jumlah Laporan Hasil Fasilitasi Kunjungan Tamu Kepala Daerah dan Wakil Kepala Daerah</t>
  </si>
  <si>
    <t>121 Lap</t>
  </si>
  <si>
    <t>130 Lap</t>
  </si>
  <si>
    <t>150 Lap</t>
  </si>
  <si>
    <t>165 Lap</t>
  </si>
  <si>
    <t>180 Lap</t>
  </si>
  <si>
    <t>4 01 01 1.14 0003</t>
  </si>
  <si>
    <t>Pengelolaan Hubungan Keprotokolan</t>
  </si>
  <si>
    <t>Jumlah Laporan Pengelolaan Hubungan Keprotokolan</t>
  </si>
  <si>
    <t>Terwujudnya Birokrasi yang bersih dan Akuntabel</t>
  </si>
  <si>
    <t>Meningkatnya Kualitas Implementasi Akuntabilitas Kinerja</t>
  </si>
  <si>
    <t>Meningkatnya Kualitas Pelayanan Publik</t>
  </si>
  <si>
    <t>Meningkatnya Kualitas Perencanaan, Penganguran, dan Evaluasi Kinerja Perangkat Daerah</t>
  </si>
  <si>
    <t>Meningkatnya Kualitas Layanan Penunjang Pelayanan Publik</t>
  </si>
  <si>
    <t>Terwujudnya penataan produk hukum daerah Tata Kelola Pemerintahan Daerah yang bersih, Transparan dan Akuntabel dengan Pelayanan Publik Berkualitas</t>
  </si>
  <si>
    <t>Kegiatan  Perencanaan, Penganggaran, dan Evaluasi Kinerja Perangkat Daerah</t>
  </si>
  <si>
    <t xml:space="preserve">PROGRAM PENUNJANG URUSAN PEMERINTAHAN DAERAH PROVINSI </t>
  </si>
  <si>
    <t>B (70.10)</t>
  </si>
  <si>
    <t>BB (71.20)</t>
  </si>
  <si>
    <t>BB (74.50)</t>
  </si>
  <si>
    <t>BB (76.10)</t>
  </si>
  <si>
    <t>BB (78.10)</t>
  </si>
  <si>
    <t>8 Dokumen</t>
  </si>
  <si>
    <t>4800 Orang/Bulan</t>
  </si>
  <si>
    <t>9 Dokumen</t>
  </si>
  <si>
    <t>9 Laporan</t>
  </si>
  <si>
    <t xml:space="preserve"> 4 Laporan</t>
  </si>
  <si>
    <t>18 Laporan</t>
  </si>
  <si>
    <t>3 Paket</t>
  </si>
  <si>
    <t>15 Paket</t>
  </si>
  <si>
    <t>14 Paket</t>
  </si>
  <si>
    <t>8 Paket</t>
  </si>
  <si>
    <t xml:space="preserve"> 8 Paket</t>
  </si>
  <si>
    <t>4  Dokumen</t>
  </si>
  <si>
    <t>5 Unit</t>
  </si>
  <si>
    <t>6 Unit</t>
  </si>
  <si>
    <t>8 Unit</t>
  </si>
  <si>
    <t>130 unit</t>
  </si>
  <si>
    <t>130 Unit</t>
  </si>
  <si>
    <t>7 Unit</t>
  </si>
  <si>
    <t>12 Unit</t>
  </si>
  <si>
    <t>18 Unit</t>
  </si>
  <si>
    <t>20 Unit</t>
  </si>
  <si>
    <t>25 Unit</t>
  </si>
  <si>
    <t>13 unit</t>
  </si>
  <si>
    <t>13 Unit</t>
  </si>
  <si>
    <t>24 Orang/Bulan</t>
  </si>
  <si>
    <t>288 Orang/Bulan</t>
  </si>
  <si>
    <t>20 Paket</t>
  </si>
  <si>
    <t>18 Paket</t>
  </si>
  <si>
    <t>Biro Umum</t>
  </si>
  <si>
    <t>BB (79.80)</t>
  </si>
  <si>
    <t>48 Dokumen</t>
  </si>
  <si>
    <t>60 Dokumen</t>
  </si>
  <si>
    <t>28800 Orang/Bulan</t>
  </si>
  <si>
    <t>54 Dokumen</t>
  </si>
  <si>
    <t>24 Laporan</t>
  </si>
  <si>
    <t>24 Dokumen</t>
  </si>
  <si>
    <t>108 Laporan</t>
  </si>
  <si>
    <t>54 Laporan</t>
  </si>
  <si>
    <t>90 Paket</t>
  </si>
  <si>
    <t>60 Paket</t>
  </si>
  <si>
    <t>56 Paket</t>
  </si>
  <si>
    <t>48 Paket</t>
  </si>
  <si>
    <t>38 Unit</t>
  </si>
  <si>
    <t>72 Laporan</t>
  </si>
  <si>
    <t>60 Laporan</t>
  </si>
  <si>
    <t>24 laporan</t>
  </si>
  <si>
    <t>780 Unit</t>
  </si>
  <si>
    <t>42 Unit</t>
  </si>
  <si>
    <t>150 unit</t>
  </si>
  <si>
    <t>78 unit</t>
  </si>
  <si>
    <t>144 Orang/bulan</t>
  </si>
  <si>
    <t>120 Paket</t>
  </si>
  <si>
    <t>108 Paket</t>
  </si>
  <si>
    <t>24 Paket</t>
  </si>
  <si>
    <t>Terwujudnya Pelayanan Administrasi Pimpinan yang baik</t>
  </si>
  <si>
    <t>Meningkatnya kualitas Penunjang Urusan Pemerintah Daerah</t>
  </si>
  <si>
    <t>Persentase Tingkat Ketercapaian Program Penunjang Biro Umum</t>
  </si>
  <si>
    <t xml:space="preserve">Meningkatnya kualitas Akuntabilitas Kinerja
</t>
  </si>
  <si>
    <t>01.1.01</t>
  </si>
  <si>
    <t>01.1.01.01</t>
  </si>
  <si>
    <t>Penyusunan Dokumen Perencanaan Perangkat Daerah</t>
  </si>
  <si>
    <t>01.1.01.02</t>
  </si>
  <si>
    <t>Koordinasi dan Penyusunan Dokumen RKA-SKPD</t>
  </si>
  <si>
    <t>Jumlah Dokumen RKA-SKPD dan Laporan Hasil Koordinasi Penyusunan Dokumen RKA-SKPD</t>
  </si>
  <si>
    <t>Meningkatnya Layanan Administrasi Keuangan Sekretariat Daerah</t>
  </si>
  <si>
    <t>01.1.02</t>
  </si>
  <si>
    <t>Administrasi Keuangan Perangkat Daerah</t>
  </si>
  <si>
    <t>Persentase Fasilitasi layanan Administrasi Keuangan Sekretariat Daerah</t>
  </si>
  <si>
    <t>01.1.02.01</t>
  </si>
  <si>
    <t>Penyediaan Gaji dan Tunjangan ASN</t>
  </si>
  <si>
    <t>Jumlah Orang yang Menerima Gaji dan Tunjangan ASN</t>
  </si>
  <si>
    <t>01.1.02.03</t>
  </si>
  <si>
    <t>Pelaksanaan Penatausahaan dan Pengujian/Verifikasi Keuangan SKPD</t>
  </si>
  <si>
    <t>Jumlah Dokumen Penatausahaan dan Pengujian/Verifikasi Keuangan SKPD</t>
  </si>
  <si>
    <t>01.1.02.05</t>
  </si>
  <si>
    <t>Koordinasi dan Penyusunan Laporan Keuangan Akhir Tahun SKPD</t>
  </si>
  <si>
    <t>Jumlah Laporan Keuangan Akhir Tahun SKPD dan Laporan Hasil Koordinasi Penyusunan Laporan Keuangan Akhir Tahun SKPD</t>
  </si>
  <si>
    <t>01.1.02.07</t>
  </si>
  <si>
    <t>Koordinasi dan Penyusunan Laporan Keuangan Bulanan / Triwulanan/Semesteran SKPD</t>
  </si>
  <si>
    <t>Jumlah Laporan Keuangan Bulanan/ Triwulanan/Semesteran SKPD dan Laporan Koordinasi Penyusunan Laporan Keuangan Bulanan/Triwulanan/Semesteran SKPD</t>
  </si>
  <si>
    <t>Meningkatnya Kualitas Pelayanan Biro Umum</t>
  </si>
  <si>
    <t>01.1.03</t>
  </si>
  <si>
    <t>Administrasi Barang Milik Daerah pada Perangkat Daerah</t>
  </si>
  <si>
    <t xml:space="preserve">Indeks Kepuasan Masyarakat terhadap layanan Biro Umum </t>
  </si>
  <si>
    <t>01.01.03.02</t>
  </si>
  <si>
    <t>Pengamanan Barang Milik Daerah SKPD</t>
  </si>
  <si>
    <t>Jumlah Dokumen Pengamanan Barang Milik Daerah SKPD</t>
  </si>
  <si>
    <t>01.01.03.05</t>
  </si>
  <si>
    <t>Rekonsiliasi dan Penyusunan Laporan Barang Milik Daerah pada SKPD</t>
  </si>
  <si>
    <t>Jumlah Laporan Rekonsiliasi dan Penyusunan Laporan Barang Milik Daerah pada SKPD</t>
  </si>
  <si>
    <t>01.01.03.06</t>
  </si>
  <si>
    <t>Penatausahaan Barang Milik Daerah pada SKPD</t>
  </si>
  <si>
    <t>Jumlah Laporan Penatausahaan Barang Milik Daerah pada SKPD</t>
  </si>
  <si>
    <t>01.1.06</t>
  </si>
  <si>
    <t>01.01.06.01</t>
  </si>
  <si>
    <t>Penyediaan Komponen Instalasi Listrik/Penerangan Bangunan Kantor</t>
  </si>
  <si>
    <t>Jumlah Paket Komponen Instalasi Listrik/Penerangan Bangunan Kantor yang Disediakan</t>
  </si>
  <si>
    <t>01.01.06.02</t>
  </si>
  <si>
    <t>JumlahPaketPeralatandanPerlengkapanKantoryangDisediakan</t>
  </si>
  <si>
    <t>01.01.06.03</t>
  </si>
  <si>
    <t>Penyediaan Peralatan Rumah Tangga</t>
  </si>
  <si>
    <t>Jumlah Paket Peralatan Rumah Tangga yang Disediakan</t>
  </si>
  <si>
    <t>01.01.06.04</t>
  </si>
  <si>
    <t>Penyediaan Bahan Logistik Kantor</t>
  </si>
  <si>
    <t>Jumlah Paket Bahan Logistik Kantor yang Disediakan</t>
  </si>
  <si>
    <t>01.01.06.05</t>
  </si>
  <si>
    <t>01.06.01.09</t>
  </si>
  <si>
    <t>01.06.01.10</t>
  </si>
  <si>
    <t>Penatausahaan Arsip Dinamis pada SKPD</t>
  </si>
  <si>
    <t>Jumlah Dokumen Penatausahaan Arsip Dinamis pada SKPD</t>
  </si>
  <si>
    <t>1.07.02</t>
  </si>
  <si>
    <t>Pengadaan Barang Milik Daerah Penunjang Urusan Pemerintah Daerah</t>
  </si>
  <si>
    <t>Persentase pemenuhan kendaraan Dinas Dalam Jabatan</t>
  </si>
  <si>
    <t>01.1.07.02</t>
  </si>
  <si>
    <t>Pengadaan Kendaraan Perorangan Dinas atau Kendaraan Dinas Jabatan</t>
  </si>
  <si>
    <t>Jumlah Unit Kendaraan Perorangan Dinas atau Kendaraan Dinas Jabatan yang Disediakan</t>
  </si>
  <si>
    <t>01.1.08</t>
  </si>
  <si>
    <t>Indeks Kepuasan Masyarakat terhadap layanan Jasa Penunjang SETDA</t>
  </si>
  <si>
    <t>01.08.01</t>
  </si>
  <si>
    <t>Penyediaan Jasa Surat Menyurat</t>
  </si>
  <si>
    <t>Jumlah Laporan Penyediaan Jasa Surat Menyurat</t>
  </si>
  <si>
    <t>01.08.02</t>
  </si>
  <si>
    <t>Penyediaan Jasa Komunikasi, Sumber Daya Air dan Listrik</t>
  </si>
  <si>
    <t>Jumlah Laporan Penyediaan Jasa Komunikasi, Sumber Daya Air dan Listrik yang Disediakan</t>
  </si>
  <si>
    <t>01.08.03</t>
  </si>
  <si>
    <t>Jumlah Laporan Penyediaan Jasa Peralatan dan Perlengkapan Kantor yang Disediakan</t>
  </si>
  <si>
    <t>01.08.04</t>
  </si>
  <si>
    <t>Penyediaan Jasa Pelayanan Umum Kantor</t>
  </si>
  <si>
    <t>Jumlah Laporan Penyediaan Jasa Pelayanan Umum Kantor yang Disediakan</t>
  </si>
  <si>
    <t>01.1.09</t>
  </si>
  <si>
    <t>Persentase Pemeliharaan BMD yang dipelihara</t>
  </si>
  <si>
    <t>01.1.09.01</t>
  </si>
  <si>
    <t>Penyediaan Jasa Pemeliharaan, Biaya Pemeliharaan dan Pajak Kendaraan Perorangan Dinas atau Kendaraan Dinas Jabatan</t>
  </si>
  <si>
    <t>Jumlah Kendaraan Perorangan Dinas atau Kendaraan Dinas Jabatan yang Dipelihara dan Dibayarkan Pajaknya</t>
  </si>
  <si>
    <t>01.1.09.02</t>
  </si>
  <si>
    <t>Penyediaan Jasa Pemeliharaan, Biaya Pemeliharaan, Pajak dan Perizinan Kendaraan Dinas Operasional atau Lapangan</t>
  </si>
  <si>
    <t>Jumlah Kendaraan Dinas Operasional atau Lapangan yang Dipelihara dan Dibayarkan Pajak dan Perizinannya</t>
  </si>
  <si>
    <t>01.1.09.06</t>
  </si>
  <si>
    <t>Jumlah Peralatan dan Mesin Lainnya yang Dipelihara</t>
  </si>
  <si>
    <t>01.1.09.09</t>
  </si>
  <si>
    <t>Pemeliharaan/Rehabilitasi Gedung Kantor dan Bangunan Lainnya</t>
  </si>
  <si>
    <t>Jumlah Gedung Kantordan Bangunan Lainnya yang Dipelihara/Direhabilitasi</t>
  </si>
  <si>
    <t>01.1.09.10</t>
  </si>
  <si>
    <t>Pemeliharaan/Rehabilitasi Sarana dan Prasarana Gedung Kantor atau Bangunan Lainnya</t>
  </si>
  <si>
    <t>Jumlah Sarana dan Prasarana Gedung Kantor atau Bangunan Lainnya yang Dipelihara/Direhabilitasi</t>
  </si>
  <si>
    <t>01.1.12</t>
  </si>
  <si>
    <t>Administrasi Keuangan dan Operasional Kepala Daerah dan Wakil Kepala Daerah</t>
  </si>
  <si>
    <t>Persentase Pelayanan Kedinasan Kepala Daerah/Wakil Kepala Daerah yang difasilitasi</t>
  </si>
  <si>
    <t>01.1.12.01</t>
  </si>
  <si>
    <t>Penyediaan Gaji dan Tunjangan Kepala Daerah dan Wakil Kepala Daerah</t>
  </si>
  <si>
    <t>Jumlah Orang yang Menerima Gaji dan Tunjangan Kepala Daerah dan Wakil Kepala Daerah</t>
  </si>
  <si>
    <t>Penyediaan Pakaian Dinas dan Atribut Kelengkapan Kepala Daerah dan Wakil Kepala Daerah</t>
  </si>
  <si>
    <t>Jumlah Paket Pakaian Dinas dan Atribut Kelengkapan Kepala Daerah dan Wakil Kepala Daerah yang Disediakan</t>
  </si>
  <si>
    <t>Terpenuhinya Pelayanan Kedinasan Kepala Daerah/Wakil Kepala Daerah /Sekretariat Daerah yang di fasilitasi</t>
  </si>
  <si>
    <t>Fasilitasi Kerumahtanggaan Sekretariat Daerah</t>
  </si>
  <si>
    <t>Penyediaan Kebutuhan Rumah Tangga Kepala Daerah</t>
  </si>
  <si>
    <t>Jumlah Paket Kebutuhan Rumah Tangga Kepala Daerah yang Disediakan</t>
  </si>
  <si>
    <t>01.1.12.02</t>
  </si>
  <si>
    <t>Penyediaan Kebutuhan Rumah Tangga Wakil Kepala Daerah</t>
  </si>
  <si>
    <t>Jumlah Paket Kebutuhan Rumah Tangga Wakil Kepala Daerah yang Disediakan</t>
  </si>
  <si>
    <t>01.1.12.03</t>
  </si>
  <si>
    <t>Penyediaan Kebutuhan Rumah Tangga Sekretariat Daerah</t>
  </si>
  <si>
    <t>Jumlah Paket Kebutuhan Rumah Tangga Sekretariat Daerah yang Disediakan</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</si>
</sst>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1" formatCode="_-* #,##0_-;\-* #,##0_-;_-* &quot;-&quot;_-;_-@_-"/>
    <numFmt numFmtId="43" formatCode="_-* #,##0.00_-;\-* #,##0.00_-;_-* &quot;-&quot;??_-;_-@_-"/>
    <numFmt numFmtId="164" formatCode="_-* #,##0_-;\-* #,##0_-;_-* &quot;-&quot;??_-;_-@_-"/>
    <numFmt numFmtId="165" formatCode="0.0%"/>
    <numFmt numFmtId="166" formatCode="_(* #,##0_);_(* \(#,##0\);_(* &quot;-&quot;??_);_(@_)"/>
    <numFmt numFmtId="167" formatCode="_(* #,##0_);_(* \(#,##0\);_(* &quot;-&quot;_);_(@_)"/>
    <numFmt numFmtId="168" formatCode="m\.dd\.yy"/>
    <numFmt numFmtId="169" formatCode="0.0"/>
    <numFmt numFmtId="171" formatCode="mm\.d\.yy;@"/>
    <numFmt numFmtId="172" formatCode="00"/>
    <numFmt numFmtId="173" formatCode="m\.dd\.yy;@"/>
    <numFmt numFmtId="174" formatCode="_(* #,##0.000_);_(* \(#,##0.000\);_(* &quot;-&quot;???_);_(@_)"/>
    <numFmt numFmtId="175" formatCode="_(* #,##0.00_);_(* \(#,##0.00\);_(* &quot;-&quot;_);_(@_)"/>
  </numFmts>
  <fonts count="12" x14ac:knownFonts="1">
    <font>
      <sz val="11"/>
      <color theme="1"/>
      <name val="Calibri"/>
      <family val="2"/>
      <charset val="1"/>
      <scheme val="minor"/>
    </font>
    <font>
      <sz val="11"/>
      <color theme="1"/>
      <name val="Calibri"/>
      <family val="2"/>
      <charset val="1"/>
      <scheme val="minor"/>
    </font>
    <font>
      <sz val="9"/>
      <color indexed="81"/>
      <name val="Tahoma"/>
      <family val="2"/>
    </font>
    <font>
      <b/>
      <sz val="8"/>
      <color theme="1"/>
      <name val="Times New Roman"/>
      <family val="1"/>
    </font>
    <font>
      <sz val="8"/>
      <color theme="1"/>
      <name val="Times New Roman"/>
      <family val="1"/>
    </font>
    <font>
      <b/>
      <i/>
      <sz val="8"/>
      <color theme="1"/>
      <name val="Times New Roman"/>
      <family val="1"/>
    </font>
    <font>
      <b/>
      <sz val="8"/>
      <name val="Times New Roman"/>
      <family val="1"/>
    </font>
    <font>
      <b/>
      <sz val="8"/>
      <color rgb="FF000000"/>
      <name val="Times New Roman"/>
      <family val="1"/>
    </font>
    <font>
      <sz val="8"/>
      <name val="Times New Roman"/>
      <family val="1"/>
    </font>
    <font>
      <sz val="8"/>
      <color rgb="FF000000"/>
      <name val="Times New Roman"/>
      <family val="1"/>
    </font>
    <font>
      <sz val="11"/>
      <color theme="1"/>
      <name val="Calibri"/>
      <family val="2"/>
      <scheme val="minor"/>
    </font>
    <font>
      <b/>
      <sz val="9"/>
      <color indexed="81"/>
      <name val="Tahoma"/>
      <family val="2"/>
    </font>
  </fonts>
  <fills count="12">
    <fill>
      <patternFill patternType="none"/>
    </fill>
    <fill>
      <patternFill patternType="gray125"/>
    </fill>
    <fill>
      <patternFill patternType="solid">
        <fgColor theme="0"/>
        <bgColor rgb="FFD6E3BC"/>
      </patternFill>
    </fill>
    <fill>
      <patternFill patternType="solid">
        <fgColor theme="0"/>
        <bgColor rgb="FFFABF8F"/>
      </patternFill>
    </fill>
    <fill>
      <patternFill patternType="solid">
        <fgColor theme="0"/>
        <bgColor indexed="64"/>
      </patternFill>
    </fill>
    <fill>
      <patternFill patternType="solid">
        <fgColor theme="0"/>
        <bgColor rgb="FFC2D69B"/>
      </patternFill>
    </fill>
    <fill>
      <patternFill patternType="solid">
        <fgColor theme="0"/>
        <bgColor rgb="FFE5B8B7"/>
      </patternFill>
    </fill>
    <fill>
      <patternFill patternType="solid">
        <fgColor theme="0"/>
        <bgColor rgb="FFB8CCE4"/>
      </patternFill>
    </fill>
    <fill>
      <patternFill patternType="solid">
        <fgColor rgb="FFFFFFFF"/>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medium">
        <color indexed="64"/>
      </right>
      <top style="thin">
        <color indexed="64"/>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style="thin">
        <color indexed="64"/>
      </right>
      <top/>
      <bottom style="thin">
        <color indexed="64"/>
      </bottom>
      <diagonal/>
    </border>
    <border>
      <left style="thin">
        <color rgb="FF000000"/>
      </left>
      <right style="thin">
        <color rgb="FF000000"/>
      </right>
      <top style="thin">
        <color indexed="64"/>
      </top>
      <bottom/>
      <diagonal/>
    </border>
    <border>
      <left/>
      <right style="thin">
        <color rgb="FF000000"/>
      </right>
      <top/>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auto="1"/>
      </left>
      <right style="thin">
        <color auto="1"/>
      </right>
      <top style="thin">
        <color auto="1"/>
      </top>
      <bottom style="hair">
        <color auto="1"/>
      </bottom>
      <diagonal/>
    </border>
  </borders>
  <cellStyleXfs count="10">
    <xf numFmtId="0" fontId="0" fillId="0" borderId="0"/>
    <xf numFmtId="43"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174" fontId="10" fillId="0" borderId="0" applyFont="0" applyFill="0" applyBorder="0" applyAlignment="0" applyProtection="0"/>
    <xf numFmtId="0" fontId="10" fillId="0" borderId="0"/>
    <xf numFmtId="175" fontId="10" fillId="0" borderId="0" applyFont="0" applyFill="0" applyBorder="0" applyAlignment="0" applyProtection="0"/>
    <xf numFmtId="0" fontId="10" fillId="0" borderId="0"/>
    <xf numFmtId="0" fontId="10" fillId="0" borderId="0"/>
    <xf numFmtId="0" fontId="10" fillId="0" borderId="0"/>
  </cellStyleXfs>
  <cellXfs count="466">
    <xf numFmtId="0" fontId="0" fillId="0" borderId="0" xfId="0"/>
    <xf numFmtId="0" fontId="3" fillId="0" borderId="1" xfId="0" applyFont="1" applyBorder="1" applyAlignment="1">
      <alignment horizontal="center" vertical="top" wrapText="1"/>
    </xf>
    <xf numFmtId="0" fontId="3" fillId="0" borderId="1" xfId="0" applyFont="1" applyBorder="1" applyAlignment="1">
      <alignment vertical="top" wrapText="1"/>
    </xf>
    <xf numFmtId="0" fontId="4" fillId="0" borderId="1" xfId="0" applyFont="1" applyBorder="1" applyAlignment="1">
      <alignment horizontal="center" vertical="top"/>
    </xf>
    <xf numFmtId="0" fontId="4" fillId="0" borderId="1" xfId="0" applyFont="1" applyBorder="1" applyAlignment="1">
      <alignment vertical="top" wrapText="1"/>
    </xf>
    <xf numFmtId="0" fontId="4" fillId="0" borderId="0" xfId="0" applyFont="1"/>
    <xf numFmtId="0" fontId="3" fillId="0" borderId="0" xfId="0" applyFont="1" applyBorder="1" applyAlignment="1">
      <alignment vertical="top" wrapText="1"/>
    </xf>
    <xf numFmtId="0" fontId="4" fillId="0" borderId="0" xfId="0" applyFont="1" applyBorder="1" applyAlignment="1">
      <alignment horizontal="right" vertical="top" wrapText="1"/>
    </xf>
    <xf numFmtId="0" fontId="4" fillId="0" borderId="0" xfId="0" applyFont="1" applyBorder="1" applyAlignment="1">
      <alignment vertical="top" wrapText="1"/>
    </xf>
    <xf numFmtId="3" fontId="4" fillId="0" borderId="0" xfId="0" applyNumberFormat="1" applyFont="1" applyBorder="1" applyAlignment="1">
      <alignment horizontal="right" vertical="top" wrapText="1"/>
    </xf>
    <xf numFmtId="164" fontId="4" fillId="0" borderId="0" xfId="1" applyNumberFormat="1" applyFont="1" applyBorder="1" applyAlignment="1">
      <alignment vertical="top" wrapText="1"/>
    </xf>
    <xf numFmtId="164" fontId="4" fillId="0" borderId="0" xfId="0" applyNumberFormat="1" applyFont="1" applyBorder="1" applyAlignment="1">
      <alignment vertical="top" wrapText="1"/>
    </xf>
    <xf numFmtId="164" fontId="4" fillId="0" borderId="0" xfId="0" applyNumberFormat="1" applyFont="1" applyBorder="1" applyAlignment="1">
      <alignment horizontal="right" vertical="top" wrapText="1"/>
    </xf>
    <xf numFmtId="0" fontId="4" fillId="0" borderId="0" xfId="0" applyFont="1" applyBorder="1" applyAlignment="1">
      <alignment horizontal="center" vertical="top"/>
    </xf>
    <xf numFmtId="168" fontId="7" fillId="2" borderId="16" xfId="0" applyNumberFormat="1" applyFont="1" applyFill="1" applyBorder="1" applyAlignment="1">
      <alignment horizontal="left" vertical="top" shrinkToFit="1"/>
    </xf>
    <xf numFmtId="0" fontId="6" fillId="2" borderId="16" xfId="0" applyFont="1" applyFill="1" applyBorder="1" applyAlignment="1">
      <alignment horizontal="left" vertical="top" wrapText="1"/>
    </xf>
    <xf numFmtId="9" fontId="7" fillId="2" borderId="16" xfId="0" applyNumberFormat="1" applyFont="1" applyFill="1" applyBorder="1" applyAlignment="1">
      <alignment horizontal="center" vertical="top" shrinkToFit="1"/>
    </xf>
    <xf numFmtId="0" fontId="6" fillId="3" borderId="4" xfId="0" applyFont="1" applyFill="1" applyBorder="1" applyAlignment="1">
      <alignment horizontal="left" vertical="top" wrapText="1"/>
    </xf>
    <xf numFmtId="9" fontId="6" fillId="3" borderId="4" xfId="0" applyNumberFormat="1" applyFont="1" applyFill="1" applyBorder="1" applyAlignment="1">
      <alignment horizontal="center" vertical="top" wrapText="1"/>
    </xf>
    <xf numFmtId="0" fontId="6" fillId="3" borderId="4" xfId="0" applyFont="1" applyFill="1" applyBorder="1" applyAlignment="1">
      <alignment horizontal="center" vertical="top" wrapText="1"/>
    </xf>
    <xf numFmtId="0" fontId="6" fillId="2" borderId="11" xfId="0" applyFont="1" applyFill="1" applyBorder="1" applyAlignment="1">
      <alignment vertical="top" wrapText="1"/>
    </xf>
    <xf numFmtId="0" fontId="7" fillId="2" borderId="11" xfId="0" applyFont="1" applyFill="1" applyBorder="1" applyAlignment="1">
      <alignment vertical="top" wrapText="1"/>
    </xf>
    <xf numFmtId="0" fontId="8" fillId="4" borderId="4" xfId="0" applyFont="1" applyFill="1" applyBorder="1" applyAlignment="1">
      <alignment horizontal="left" vertical="top" wrapText="1"/>
    </xf>
    <xf numFmtId="0" fontId="8" fillId="4" borderId="15" xfId="0" applyFont="1" applyFill="1" applyBorder="1" applyAlignment="1">
      <alignment horizontal="center" vertical="top" wrapText="1"/>
    </xf>
    <xf numFmtId="0" fontId="8" fillId="4" borderId="1" xfId="0" applyFont="1" applyFill="1" applyBorder="1" applyAlignment="1">
      <alignment horizontal="center" vertical="top" wrapText="1"/>
    </xf>
    <xf numFmtId="0" fontId="8" fillId="4" borderId="4" xfId="0" applyFont="1" applyFill="1" applyBorder="1" applyAlignment="1">
      <alignment horizontal="center" vertical="top" wrapText="1"/>
    </xf>
    <xf numFmtId="0" fontId="6" fillId="3" borderId="2" xfId="0" applyFont="1" applyFill="1" applyBorder="1" applyAlignment="1">
      <alignment horizontal="left" vertical="top" wrapText="1"/>
    </xf>
    <xf numFmtId="9" fontId="6" fillId="3" borderId="15" xfId="0" applyNumberFormat="1" applyFont="1" applyFill="1" applyBorder="1" applyAlignment="1">
      <alignment horizontal="center" vertical="top" wrapText="1"/>
    </xf>
    <xf numFmtId="0" fontId="8" fillId="4" borderId="7" xfId="0" applyFont="1" applyFill="1" applyBorder="1" applyAlignment="1">
      <alignment horizontal="left" vertical="top" wrapText="1"/>
    </xf>
    <xf numFmtId="0" fontId="8" fillId="4" borderId="14" xfId="0" applyFont="1" applyFill="1" applyBorder="1" applyAlignment="1">
      <alignment horizontal="center" vertical="top" wrapText="1"/>
    </xf>
    <xf numFmtId="0" fontId="8" fillId="4" borderId="7" xfId="0" applyFont="1" applyFill="1" applyBorder="1" applyAlignment="1">
      <alignment horizontal="center" vertical="top" wrapText="1"/>
    </xf>
    <xf numFmtId="0" fontId="7" fillId="2" borderId="12" xfId="0" applyFont="1" applyFill="1" applyBorder="1" applyAlignment="1">
      <alignment vertical="top" wrapText="1"/>
    </xf>
    <xf numFmtId="0" fontId="8" fillId="4" borderId="1" xfId="0" applyFont="1" applyFill="1" applyBorder="1" applyAlignment="1">
      <alignment horizontal="left" vertical="top" wrapText="1"/>
    </xf>
    <xf numFmtId="9" fontId="6" fillId="3" borderId="2" xfId="0" applyNumberFormat="1" applyFont="1" applyFill="1" applyBorder="1" applyAlignment="1">
      <alignment horizontal="center" vertical="top" wrapText="1"/>
    </xf>
    <xf numFmtId="0" fontId="6" fillId="2" borderId="13" xfId="0" applyFont="1" applyFill="1" applyBorder="1" applyAlignment="1">
      <alignment vertical="top" wrapText="1"/>
    </xf>
    <xf numFmtId="0" fontId="7" fillId="2" borderId="13" xfId="0" applyFont="1" applyFill="1" applyBorder="1" applyAlignment="1">
      <alignment horizontal="center" vertical="top" wrapText="1"/>
    </xf>
    <xf numFmtId="0" fontId="6" fillId="2" borderId="14" xfId="0" applyFont="1" applyFill="1" applyBorder="1" applyAlignment="1">
      <alignment horizontal="left" vertical="top" wrapText="1"/>
    </xf>
    <xf numFmtId="2" fontId="6" fillId="5" borderId="1" xfId="0" applyNumberFormat="1" applyFont="1" applyFill="1" applyBorder="1" applyAlignment="1">
      <alignment horizontal="left" vertical="top" wrapText="1"/>
    </xf>
    <xf numFmtId="0" fontId="6" fillId="5" borderId="1" xfId="0" applyFont="1" applyFill="1" applyBorder="1" applyAlignment="1">
      <alignment horizontal="left" vertical="top" wrapText="1"/>
    </xf>
    <xf numFmtId="0" fontId="6" fillId="5" borderId="1" xfId="0" applyFont="1" applyFill="1" applyBorder="1" applyAlignment="1">
      <alignment horizontal="center" vertical="top" wrapText="1"/>
    </xf>
    <xf numFmtId="0" fontId="6" fillId="2" borderId="12" xfId="0" applyFont="1" applyFill="1" applyBorder="1" applyAlignment="1">
      <alignment horizontal="left" vertical="top" wrapText="1"/>
    </xf>
    <xf numFmtId="2" fontId="7" fillId="6" borderId="1" xfId="0" applyNumberFormat="1" applyFont="1" applyFill="1" applyBorder="1" applyAlignment="1">
      <alignment horizontal="left" vertical="top" shrinkToFit="1"/>
    </xf>
    <xf numFmtId="0" fontId="6" fillId="6" borderId="1" xfId="0" applyFont="1" applyFill="1" applyBorder="1" applyAlignment="1">
      <alignment horizontal="left" vertical="top" wrapText="1"/>
    </xf>
    <xf numFmtId="1" fontId="6" fillId="6" borderId="1" xfId="0" applyNumberFormat="1" applyFont="1" applyFill="1" applyBorder="1" applyAlignment="1">
      <alignment horizontal="center" vertical="top" wrapText="1"/>
    </xf>
    <xf numFmtId="2" fontId="8" fillId="4" borderId="2" xfId="0" applyNumberFormat="1" applyFont="1" applyFill="1" applyBorder="1" applyAlignment="1">
      <alignment horizontal="left" vertical="top" shrinkToFit="1"/>
    </xf>
    <xf numFmtId="0" fontId="8" fillId="4" borderId="2" xfId="0" applyFont="1" applyFill="1" applyBorder="1" applyAlignment="1">
      <alignment horizontal="left" vertical="top" wrapText="1"/>
    </xf>
    <xf numFmtId="0" fontId="9" fillId="4" borderId="3" xfId="0" applyFont="1" applyFill="1" applyBorder="1" applyAlignment="1">
      <alignment horizontal="center" vertical="top" wrapText="1"/>
    </xf>
    <xf numFmtId="2" fontId="8" fillId="4" borderId="4" xfId="0" applyNumberFormat="1" applyFont="1" applyFill="1" applyBorder="1" applyAlignment="1">
      <alignment horizontal="left" vertical="top" shrinkToFit="1"/>
    </xf>
    <xf numFmtId="0" fontId="9" fillId="4" borderId="5" xfId="0" applyFont="1" applyFill="1" applyBorder="1" applyAlignment="1">
      <alignment horizontal="center" vertical="top" wrapText="1"/>
    </xf>
    <xf numFmtId="0" fontId="6" fillId="7" borderId="15" xfId="0" applyFont="1" applyFill="1" applyBorder="1" applyAlignment="1">
      <alignment vertical="center" wrapText="1"/>
    </xf>
    <xf numFmtId="0" fontId="8" fillId="4" borderId="10" xfId="0" applyFont="1" applyFill="1" applyBorder="1" applyAlignment="1">
      <alignment vertical="center"/>
    </xf>
    <xf numFmtId="0" fontId="6" fillId="7" borderId="4" xfId="0" applyFont="1" applyFill="1" applyBorder="1" applyAlignment="1">
      <alignment horizontal="center" vertical="center" wrapText="1"/>
    </xf>
    <xf numFmtId="3" fontId="7" fillId="7" borderId="4" xfId="0" applyNumberFormat="1" applyFont="1" applyFill="1" applyBorder="1" applyAlignment="1">
      <alignment horizontal="right" vertical="center"/>
    </xf>
    <xf numFmtId="0" fontId="6" fillId="7" borderId="5" xfId="0" applyFont="1" applyFill="1" applyBorder="1" applyAlignment="1">
      <alignment horizontal="center" vertical="center" wrapText="1"/>
    </xf>
    <xf numFmtId="0" fontId="6" fillId="0" borderId="7" xfId="0" applyFont="1" applyBorder="1" applyAlignment="1">
      <alignment horizontal="left" vertical="top" wrapText="1"/>
    </xf>
    <xf numFmtId="0" fontId="6" fillId="0" borderId="11" xfId="0" applyFont="1" applyBorder="1" applyAlignment="1">
      <alignment horizontal="left" vertical="top" wrapText="1"/>
    </xf>
    <xf numFmtId="0" fontId="4" fillId="0" borderId="11" xfId="0" applyFont="1" applyBorder="1" applyAlignment="1">
      <alignment horizontal="left" wrapText="1"/>
    </xf>
    <xf numFmtId="0" fontId="4" fillId="0" borderId="2" xfId="0" applyFont="1" applyBorder="1" applyAlignment="1">
      <alignment horizontal="left" wrapText="1"/>
    </xf>
    <xf numFmtId="0" fontId="6" fillId="0" borderId="2" xfId="0" applyFont="1" applyBorder="1" applyAlignment="1">
      <alignment horizontal="left" vertical="top" wrapText="1"/>
    </xf>
    <xf numFmtId="0" fontId="4" fillId="0" borderId="11" xfId="0" applyFont="1" applyBorder="1" applyAlignment="1">
      <alignment horizontal="left" vertical="top" wrapText="1"/>
    </xf>
    <xf numFmtId="0" fontId="4" fillId="0" borderId="4" xfId="0" applyFont="1" applyBorder="1" applyAlignment="1">
      <alignment horizontal="left" vertical="top" wrapText="1"/>
    </xf>
    <xf numFmtId="0" fontId="8" fillId="0" borderId="7" xfId="0" applyFont="1" applyBorder="1" applyAlignment="1">
      <alignment horizontal="left" vertical="top" wrapText="1"/>
    </xf>
    <xf numFmtId="0" fontId="4" fillId="0" borderId="11" xfId="0" applyFont="1" applyBorder="1" applyAlignment="1">
      <alignment horizontal="left" vertical="center" wrapText="1"/>
    </xf>
    <xf numFmtId="0" fontId="4" fillId="0" borderId="2" xfId="0" applyFont="1" applyBorder="1" applyAlignment="1">
      <alignment horizontal="left" vertical="center"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6" fillId="0" borderId="4" xfId="0" applyFont="1" applyBorder="1" applyAlignment="1">
      <alignment horizontal="left" vertical="top" wrapText="1"/>
    </xf>
    <xf numFmtId="0" fontId="8" fillId="0" borderId="4" xfId="0" applyFont="1" applyBorder="1" applyAlignment="1">
      <alignment horizontal="left" vertical="top" wrapText="1"/>
    </xf>
    <xf numFmtId="3" fontId="7" fillId="0" borderId="7" xfId="0" applyNumberFormat="1" applyFont="1" applyBorder="1" applyAlignment="1">
      <alignment horizontal="left" vertical="top" shrinkToFit="1"/>
    </xf>
    <xf numFmtId="3" fontId="7" fillId="0" borderId="11" xfId="0" applyNumberFormat="1" applyFont="1" applyBorder="1" applyAlignment="1">
      <alignment horizontal="left" vertical="top" shrinkToFit="1"/>
    </xf>
    <xf numFmtId="3" fontId="7" fillId="0" borderId="2" xfId="0" applyNumberFormat="1" applyFont="1" applyBorder="1" applyAlignment="1">
      <alignment horizontal="left" vertical="top" shrinkToFit="1"/>
    </xf>
    <xf numFmtId="3" fontId="7" fillId="0" borderId="4" xfId="0" applyNumberFormat="1" applyFont="1" applyBorder="1" applyAlignment="1">
      <alignment horizontal="left" vertical="top" indent="1" shrinkToFit="1"/>
    </xf>
    <xf numFmtId="3" fontId="9" fillId="0" borderId="4" xfId="0" applyNumberFormat="1" applyFont="1" applyBorder="1" applyAlignment="1">
      <alignment horizontal="left" vertical="top" shrinkToFit="1"/>
    </xf>
    <xf numFmtId="0" fontId="4" fillId="0" borderId="4" xfId="0" applyFont="1" applyBorder="1" applyAlignment="1">
      <alignment horizontal="left" vertical="center" wrapText="1"/>
    </xf>
    <xf numFmtId="3" fontId="7" fillId="0" borderId="4" xfId="0" applyNumberFormat="1" applyFont="1" applyBorder="1" applyAlignment="1">
      <alignment horizontal="left" vertical="top" shrinkToFit="1"/>
    </xf>
    <xf numFmtId="0" fontId="4" fillId="4" borderId="1" xfId="0" applyFont="1" applyFill="1" applyBorder="1" applyAlignment="1">
      <alignment vertical="top" wrapText="1"/>
    </xf>
    <xf numFmtId="0" fontId="3" fillId="8" borderId="1" xfId="0" applyFont="1" applyFill="1" applyBorder="1" applyAlignment="1">
      <alignment horizontal="left" vertical="top" wrapText="1"/>
    </xf>
    <xf numFmtId="3" fontId="3" fillId="8" borderId="1" xfId="0" applyNumberFormat="1" applyFont="1" applyFill="1" applyBorder="1" applyAlignment="1">
      <alignment horizontal="center" vertical="top" wrapText="1"/>
    </xf>
    <xf numFmtId="0" fontId="3" fillId="4" borderId="1" xfId="0" applyFont="1" applyFill="1" applyBorder="1" applyAlignment="1">
      <alignment horizontal="center" vertical="top" wrapText="1"/>
    </xf>
    <xf numFmtId="3" fontId="3" fillId="4" borderId="1" xfId="0" applyNumberFormat="1" applyFont="1" applyFill="1" applyBorder="1" applyAlignment="1">
      <alignment horizontal="center" vertical="top" wrapText="1"/>
    </xf>
    <xf numFmtId="41" fontId="3" fillId="0" borderId="1" xfId="0" applyNumberFormat="1" applyFont="1" applyBorder="1" applyAlignment="1">
      <alignment horizontal="center" vertical="top" wrapText="1"/>
    </xf>
    <xf numFmtId="0" fontId="3" fillId="0" borderId="1" xfId="0" applyFont="1" applyBorder="1" applyAlignment="1">
      <alignment horizontal="left" vertical="top" wrapText="1"/>
    </xf>
    <xf numFmtId="3" fontId="3" fillId="0" borderId="1" xfId="0" applyNumberFormat="1" applyFont="1" applyBorder="1" applyAlignment="1">
      <alignment horizontal="center" vertical="top"/>
    </xf>
    <xf numFmtId="9" fontId="3" fillId="4" borderId="1" xfId="0" applyNumberFormat="1" applyFont="1" applyFill="1" applyBorder="1" applyAlignment="1">
      <alignment horizontal="center" vertical="top"/>
    </xf>
    <xf numFmtId="3" fontId="3" fillId="4" borderId="1" xfId="0" applyNumberFormat="1" applyFont="1" applyFill="1" applyBorder="1" applyAlignment="1">
      <alignment horizontal="center" vertical="top"/>
    </xf>
    <xf numFmtId="9" fontId="3" fillId="0" borderId="1" xfId="0" applyNumberFormat="1" applyFont="1" applyBorder="1" applyAlignment="1">
      <alignment horizontal="center" vertical="top"/>
    </xf>
    <xf numFmtId="0" fontId="4" fillId="0" borderId="1" xfId="0" applyFont="1" applyBorder="1" applyAlignment="1">
      <alignment horizontal="center" vertical="top" wrapText="1"/>
    </xf>
    <xf numFmtId="0" fontId="4" fillId="0" borderId="1" xfId="0" applyFont="1" applyBorder="1" applyAlignment="1">
      <alignment horizontal="left" vertical="center" wrapText="1"/>
    </xf>
    <xf numFmtId="0" fontId="4" fillId="0" borderId="1" xfId="0" applyFont="1" applyBorder="1" applyAlignment="1">
      <alignment horizontal="left" vertical="top" wrapText="1"/>
    </xf>
    <xf numFmtId="3" fontId="4" fillId="0" borderId="1" xfId="0" applyNumberFormat="1" applyFont="1" applyBorder="1" applyAlignment="1">
      <alignment horizontal="center" vertical="top"/>
    </xf>
    <xf numFmtId="0" fontId="4" fillId="4" borderId="1" xfId="0" applyFont="1" applyFill="1" applyBorder="1" applyAlignment="1">
      <alignment horizontal="center" vertical="top"/>
    </xf>
    <xf numFmtId="3" fontId="4" fillId="4" borderId="1" xfId="0" applyNumberFormat="1" applyFont="1" applyFill="1" applyBorder="1" applyAlignment="1">
      <alignment horizontal="center" vertical="top"/>
    </xf>
    <xf numFmtId="9" fontId="4" fillId="4" borderId="1" xfId="0" applyNumberFormat="1" applyFont="1" applyFill="1" applyBorder="1" applyAlignment="1">
      <alignment horizontal="center" vertical="top"/>
    </xf>
    <xf numFmtId="9" fontId="4" fillId="0" borderId="1" xfId="0" applyNumberFormat="1" applyFont="1" applyBorder="1" applyAlignment="1">
      <alignment horizontal="center" vertical="top"/>
    </xf>
    <xf numFmtId="3" fontId="3" fillId="0" borderId="1" xfId="0" applyNumberFormat="1" applyFont="1" applyBorder="1" applyAlignment="1">
      <alignment vertical="center"/>
    </xf>
    <xf numFmtId="9" fontId="3" fillId="4" borderId="1" xfId="0" applyNumberFormat="1" applyFont="1" applyFill="1" applyBorder="1" applyAlignment="1">
      <alignment vertical="center"/>
    </xf>
    <xf numFmtId="3" fontId="3" fillId="4" borderId="1" xfId="0" applyNumberFormat="1" applyFont="1" applyFill="1" applyBorder="1" applyAlignment="1">
      <alignment vertical="center"/>
    </xf>
    <xf numFmtId="9" fontId="3" fillId="0" borderId="1" xfId="0" applyNumberFormat="1" applyFont="1" applyBorder="1" applyAlignment="1">
      <alignment vertical="center"/>
    </xf>
    <xf numFmtId="0" fontId="4" fillId="0" borderId="1" xfId="0" applyFont="1" applyBorder="1" applyAlignment="1">
      <alignment vertical="center" wrapText="1"/>
    </xf>
    <xf numFmtId="0" fontId="4" fillId="0" borderId="1" xfId="0" applyFont="1" applyBorder="1" applyAlignment="1">
      <alignment vertical="center"/>
    </xf>
    <xf numFmtId="0" fontId="6" fillId="8" borderId="1" xfId="0" applyFont="1" applyFill="1" applyBorder="1" applyAlignment="1">
      <alignment horizontal="left" vertical="top" wrapText="1"/>
    </xf>
    <xf numFmtId="0" fontId="4" fillId="0" borderId="1" xfId="0" applyFont="1" applyBorder="1"/>
    <xf numFmtId="0" fontId="3" fillId="4" borderId="1" xfId="5" applyFont="1" applyFill="1" applyBorder="1" applyAlignment="1">
      <alignment horizontal="center" vertical="justify"/>
    </xf>
    <xf numFmtId="0" fontId="3" fillId="4" borderId="1" xfId="9" applyFont="1" applyFill="1" applyBorder="1" applyAlignment="1">
      <alignment vertical="justify"/>
    </xf>
    <xf numFmtId="0" fontId="6" fillId="4" borderId="1" xfId="5" applyFont="1" applyFill="1" applyBorder="1" applyAlignment="1">
      <alignment vertical="center" wrapText="1"/>
    </xf>
    <xf numFmtId="0" fontId="3" fillId="4" borderId="1" xfId="5" applyFont="1" applyFill="1" applyBorder="1" applyAlignment="1">
      <alignment vertical="top" wrapText="1"/>
    </xf>
    <xf numFmtId="3" fontId="3" fillId="4" borderId="1" xfId="4" applyNumberFormat="1" applyFont="1" applyFill="1" applyBorder="1" applyAlignment="1">
      <alignment horizontal="center" vertical="center" wrapText="1"/>
    </xf>
    <xf numFmtId="9" fontId="6" fillId="0" borderId="1" xfId="3" applyFont="1" applyFill="1" applyBorder="1" applyAlignment="1">
      <alignment horizontal="right" vertical="center" wrapText="1"/>
    </xf>
    <xf numFmtId="0" fontId="3" fillId="4" borderId="1" xfId="5" applyFont="1" applyFill="1" applyBorder="1" applyAlignment="1">
      <alignment horizontal="center" vertical="center"/>
    </xf>
    <xf numFmtId="0" fontId="3" fillId="4" borderId="1" xfId="9" applyFont="1" applyFill="1" applyBorder="1" applyAlignment="1">
      <alignment vertical="top"/>
    </xf>
    <xf numFmtId="0" fontId="6" fillId="4" borderId="1" xfId="5" applyFont="1" applyFill="1" applyBorder="1" applyAlignment="1">
      <alignment vertical="top" wrapText="1"/>
    </xf>
    <xf numFmtId="3" fontId="6" fillId="4" borderId="1" xfId="5" applyNumberFormat="1" applyFont="1" applyFill="1" applyBorder="1" applyAlignment="1">
      <alignment horizontal="center" vertical="center" wrapText="1"/>
    </xf>
    <xf numFmtId="3" fontId="6" fillId="4" borderId="1" xfId="5" applyNumberFormat="1" applyFont="1" applyFill="1" applyBorder="1" applyAlignment="1">
      <alignment horizontal="right" vertical="center" wrapText="1"/>
    </xf>
    <xf numFmtId="0" fontId="4" fillId="4" borderId="1" xfId="5" applyFont="1" applyFill="1" applyBorder="1" applyAlignment="1">
      <alignment horizontal="center" vertical="center"/>
    </xf>
    <xf numFmtId="0" fontId="8" fillId="4" borderId="1" xfId="5" applyFont="1" applyFill="1" applyBorder="1" applyAlignment="1">
      <alignment vertical="center" wrapText="1"/>
    </xf>
    <xf numFmtId="0" fontId="4" fillId="0" borderId="1" xfId="5" applyFont="1" applyBorder="1" applyAlignment="1">
      <alignment vertical="top" wrapText="1"/>
    </xf>
    <xf numFmtId="175" fontId="4" fillId="4" borderId="1" xfId="4" applyNumberFormat="1" applyFont="1" applyFill="1" applyBorder="1" applyAlignment="1">
      <alignment horizontal="left" vertical="top" wrapText="1"/>
    </xf>
    <xf numFmtId="3" fontId="4" fillId="4" borderId="1" xfId="4" applyNumberFormat="1" applyFont="1" applyFill="1" applyBorder="1" applyAlignment="1">
      <alignment horizontal="center" vertical="center" wrapText="1"/>
    </xf>
    <xf numFmtId="167" fontId="8" fillId="4" borderId="1" xfId="6" applyNumberFormat="1" applyFont="1" applyFill="1" applyBorder="1" applyAlignment="1">
      <alignment horizontal="right" vertical="center"/>
    </xf>
    <xf numFmtId="3" fontId="4" fillId="4" borderId="1" xfId="4" applyNumberFormat="1" applyFont="1" applyFill="1" applyBorder="1" applyAlignment="1">
      <alignment horizontal="right" vertical="center" wrapText="1"/>
    </xf>
    <xf numFmtId="0" fontId="4" fillId="4" borderId="1" xfId="5" applyFont="1" applyFill="1" applyBorder="1" applyAlignment="1">
      <alignment vertical="top" wrapText="1"/>
    </xf>
    <xf numFmtId="3" fontId="4" fillId="4" borderId="1" xfId="4" applyNumberFormat="1" applyFont="1" applyFill="1" applyBorder="1" applyAlignment="1">
      <alignment horizontal="center" vertical="center"/>
    </xf>
    <xf numFmtId="3" fontId="8" fillId="4" borderId="1" xfId="5" applyNumberFormat="1" applyFont="1" applyFill="1" applyBorder="1" applyAlignment="1">
      <alignment horizontal="right" vertical="center" wrapText="1"/>
    </xf>
    <xf numFmtId="3" fontId="8" fillId="4" borderId="1" xfId="5" applyNumberFormat="1" applyFont="1" applyFill="1" applyBorder="1" applyAlignment="1">
      <alignment horizontal="center" vertical="center" wrapText="1"/>
    </xf>
    <xf numFmtId="0" fontId="4" fillId="0" borderId="1" xfId="5" applyFont="1" applyBorder="1" applyAlignment="1">
      <alignment horizontal="center" vertical="center"/>
    </xf>
    <xf numFmtId="0" fontId="3" fillId="0" borderId="1" xfId="9" applyFont="1" applyBorder="1" applyAlignment="1">
      <alignment vertical="top"/>
    </xf>
    <xf numFmtId="175" fontId="4" fillId="0" borderId="1" xfId="5" applyNumberFormat="1" applyFont="1" applyBorder="1" applyAlignment="1">
      <alignment horizontal="left" vertical="top" wrapText="1"/>
    </xf>
    <xf numFmtId="3" fontId="4" fillId="0" borderId="1" xfId="5" applyNumberFormat="1" applyFont="1" applyBorder="1" applyAlignment="1">
      <alignment horizontal="center" vertical="center" wrapText="1"/>
    </xf>
    <xf numFmtId="167" fontId="8" fillId="0" borderId="1" xfId="4" applyNumberFormat="1" applyFont="1" applyFill="1" applyBorder="1" applyAlignment="1">
      <alignment horizontal="center" vertical="center"/>
    </xf>
    <xf numFmtId="3" fontId="4" fillId="4" borderId="1" xfId="5" applyNumberFormat="1" applyFont="1" applyFill="1" applyBorder="1" applyAlignment="1">
      <alignment horizontal="center" vertical="center" wrapText="1"/>
    </xf>
    <xf numFmtId="0" fontId="3" fillId="0" borderId="1" xfId="5" applyFont="1" applyBorder="1" applyAlignment="1">
      <alignment horizontal="center" vertical="center"/>
    </xf>
    <xf numFmtId="0" fontId="6" fillId="0" borderId="1" xfId="5" applyFont="1" applyBorder="1" applyAlignment="1">
      <alignment vertical="top" wrapText="1"/>
    </xf>
    <xf numFmtId="175" fontId="3" fillId="0" borderId="1" xfId="4" applyNumberFormat="1" applyFont="1" applyFill="1" applyBorder="1" applyAlignment="1">
      <alignment horizontal="left" vertical="top" wrapText="1"/>
    </xf>
    <xf numFmtId="3" fontId="3" fillId="0" borderId="1" xfId="4" applyNumberFormat="1" applyFont="1" applyFill="1" applyBorder="1" applyAlignment="1">
      <alignment horizontal="center" vertical="center" wrapText="1"/>
    </xf>
    <xf numFmtId="167" fontId="6" fillId="0" borderId="1" xfId="5" applyNumberFormat="1" applyFont="1" applyBorder="1" applyAlignment="1">
      <alignment horizontal="center" vertical="center" wrapText="1"/>
    </xf>
    <xf numFmtId="3" fontId="6" fillId="0" borderId="1" xfId="5" applyNumberFormat="1" applyFont="1" applyBorder="1" applyAlignment="1">
      <alignment horizontal="center" vertical="center" wrapText="1"/>
    </xf>
    <xf numFmtId="175" fontId="4" fillId="0" borderId="1" xfId="4" applyNumberFormat="1" applyFont="1" applyFill="1" applyBorder="1" applyAlignment="1">
      <alignment horizontal="left" vertical="top" wrapText="1"/>
    </xf>
    <xf numFmtId="3" fontId="4" fillId="0" borderId="1" xfId="4" applyNumberFormat="1" applyFont="1" applyFill="1" applyBorder="1" applyAlignment="1">
      <alignment horizontal="center" vertical="center" wrapText="1"/>
    </xf>
    <xf numFmtId="3" fontId="8" fillId="0" borderId="1" xfId="5" applyNumberFormat="1" applyFont="1" applyBorder="1" applyAlignment="1">
      <alignment horizontal="center" vertical="center" wrapText="1"/>
    </xf>
    <xf numFmtId="167" fontId="8" fillId="0" borderId="1" xfId="5" applyNumberFormat="1" applyFont="1" applyBorder="1" applyAlignment="1">
      <alignment horizontal="center" vertical="center" wrapText="1"/>
    </xf>
    <xf numFmtId="0" fontId="3" fillId="0" borderId="1" xfId="5" applyFont="1" applyBorder="1" applyAlignment="1">
      <alignment vertical="top" wrapText="1"/>
    </xf>
    <xf numFmtId="167" fontId="6" fillId="0" borderId="1" xfId="4" applyNumberFormat="1" applyFont="1" applyFill="1" applyBorder="1" applyAlignment="1">
      <alignment horizontal="center" vertical="center"/>
    </xf>
    <xf numFmtId="3" fontId="3" fillId="0" borderId="1" xfId="5" applyNumberFormat="1" applyFont="1" applyBorder="1" applyAlignment="1">
      <alignment horizontal="center" vertical="center"/>
    </xf>
    <xf numFmtId="3" fontId="4" fillId="0" borderId="1" xfId="5" applyNumberFormat="1" applyFont="1" applyBorder="1" applyAlignment="1">
      <alignment horizontal="center" vertical="center"/>
    </xf>
    <xf numFmtId="3" fontId="6" fillId="4" borderId="1" xfId="5" applyNumberFormat="1" applyFont="1" applyFill="1" applyBorder="1" applyAlignment="1">
      <alignment vertical="center" wrapText="1"/>
    </xf>
    <xf numFmtId="3" fontId="3" fillId="0" borderId="1" xfId="5" applyNumberFormat="1" applyFont="1" applyBorder="1" applyAlignment="1">
      <alignment vertical="center" wrapText="1"/>
    </xf>
    <xf numFmtId="3" fontId="3" fillId="0" borderId="1" xfId="5" applyNumberFormat="1" applyFont="1" applyBorder="1" applyAlignment="1">
      <alignment horizontal="center" vertical="center" wrapText="1"/>
    </xf>
    <xf numFmtId="3" fontId="3" fillId="0" borderId="1" xfId="5" applyNumberFormat="1" applyFont="1" applyBorder="1" applyAlignment="1">
      <alignment horizontal="right" vertical="center" wrapText="1"/>
    </xf>
    <xf numFmtId="3" fontId="6" fillId="0" borderId="1" xfId="4" applyNumberFormat="1" applyFont="1" applyFill="1" applyBorder="1" applyAlignment="1">
      <alignment horizontal="right" vertical="center" wrapText="1"/>
    </xf>
    <xf numFmtId="3" fontId="3" fillId="4" borderId="1" xfId="5" applyNumberFormat="1" applyFont="1" applyFill="1" applyBorder="1" applyAlignment="1">
      <alignment horizontal="right" vertical="center" wrapText="1"/>
    </xf>
    <xf numFmtId="167" fontId="8" fillId="4" borderId="1" xfId="4" applyNumberFormat="1" applyFont="1" applyFill="1" applyBorder="1" applyAlignment="1">
      <alignment horizontal="right" vertical="center"/>
    </xf>
    <xf numFmtId="175" fontId="8" fillId="4" borderId="1" xfId="5" applyNumberFormat="1" applyFont="1" applyFill="1" applyBorder="1" applyAlignment="1">
      <alignment horizontal="center" vertical="center" wrapText="1"/>
    </xf>
    <xf numFmtId="3" fontId="8" fillId="4" borderId="1" xfId="7" applyNumberFormat="1" applyFont="1" applyFill="1" applyBorder="1" applyAlignment="1">
      <alignment horizontal="center" vertical="center" wrapText="1"/>
    </xf>
    <xf numFmtId="167" fontId="8" fillId="4" borderId="1" xfId="4" applyNumberFormat="1" applyFont="1" applyFill="1" applyBorder="1" applyAlignment="1">
      <alignment horizontal="center" vertical="center"/>
    </xf>
    <xf numFmtId="175" fontId="8" fillId="4" borderId="1" xfId="5" applyNumberFormat="1" applyFont="1" applyFill="1" applyBorder="1" applyAlignment="1">
      <alignment horizontal="right" vertical="center" wrapText="1"/>
    </xf>
    <xf numFmtId="167" fontId="6" fillId="4" borderId="1" xfId="4" applyNumberFormat="1" applyFont="1" applyFill="1" applyBorder="1" applyAlignment="1">
      <alignment horizontal="center" vertical="center"/>
    </xf>
    <xf numFmtId="0" fontId="9" fillId="4" borderId="1" xfId="5" applyFont="1" applyFill="1" applyBorder="1" applyAlignment="1">
      <alignment vertical="top" wrapText="1"/>
    </xf>
    <xf numFmtId="3" fontId="9" fillId="4" borderId="1" xfId="4" applyNumberFormat="1" applyFont="1" applyFill="1" applyBorder="1" applyAlignment="1">
      <alignment horizontal="center" vertical="center" wrapText="1"/>
    </xf>
    <xf numFmtId="0" fontId="3" fillId="4" borderId="1" xfId="5" applyFont="1" applyFill="1" applyBorder="1" applyAlignment="1">
      <alignment vertical="center"/>
    </xf>
    <xf numFmtId="0" fontId="7" fillId="0" borderId="1" xfId="5" applyFont="1" applyBorder="1" applyAlignment="1">
      <alignment vertical="top" wrapText="1"/>
    </xf>
    <xf numFmtId="0" fontId="7" fillId="4" borderId="1" xfId="5" applyFont="1" applyFill="1" applyBorder="1" applyAlignment="1">
      <alignment vertical="top" wrapText="1"/>
    </xf>
    <xf numFmtId="3" fontId="7" fillId="0" borderId="1" xfId="4" applyNumberFormat="1" applyFont="1" applyFill="1" applyBorder="1" applyAlignment="1">
      <alignment horizontal="center" vertical="center" wrapText="1"/>
    </xf>
    <xf numFmtId="3" fontId="6" fillId="0" borderId="1" xfId="5" applyNumberFormat="1" applyFont="1" applyBorder="1" applyAlignment="1">
      <alignment horizontal="center" wrapText="1"/>
    </xf>
    <xf numFmtId="3" fontId="6" fillId="0" borderId="1" xfId="4" applyNumberFormat="1" applyFont="1" applyFill="1" applyBorder="1" applyAlignment="1">
      <alignment horizontal="center" vertical="center" wrapText="1"/>
    </xf>
    <xf numFmtId="0" fontId="4" fillId="4" borderId="1" xfId="5" applyFont="1" applyFill="1" applyBorder="1" applyAlignment="1">
      <alignment vertical="center"/>
    </xf>
    <xf numFmtId="0" fontId="9" fillId="0" borderId="1" xfId="5" applyFont="1" applyBorder="1" applyAlignment="1">
      <alignment vertical="top" wrapText="1"/>
    </xf>
    <xf numFmtId="3" fontId="9" fillId="0" borderId="1" xfId="4" applyNumberFormat="1" applyFont="1" applyFill="1" applyBorder="1" applyAlignment="1">
      <alignment horizontal="center" vertical="center" wrapText="1"/>
    </xf>
    <xf numFmtId="3" fontId="8" fillId="0" borderId="1" xfId="5" applyNumberFormat="1" applyFont="1" applyBorder="1" applyAlignment="1">
      <alignment horizontal="center" wrapText="1"/>
    </xf>
    <xf numFmtId="175" fontId="9" fillId="0" borderId="1" xfId="4" applyNumberFormat="1" applyFont="1" applyFill="1" applyBorder="1" applyAlignment="1">
      <alignment horizontal="left" vertical="top" wrapText="1"/>
    </xf>
    <xf numFmtId="175" fontId="7" fillId="0" borderId="1" xfId="4" applyNumberFormat="1" applyFont="1" applyFill="1" applyBorder="1" applyAlignment="1">
      <alignment horizontal="left" vertical="top" wrapText="1"/>
    </xf>
    <xf numFmtId="3" fontId="8" fillId="0" borderId="1" xfId="4" applyNumberFormat="1" applyFont="1" applyFill="1" applyBorder="1" applyAlignment="1">
      <alignment horizontal="right" vertical="center" wrapText="1"/>
    </xf>
    <xf numFmtId="3" fontId="9" fillId="0" borderId="1" xfId="5" applyNumberFormat="1" applyFont="1" applyBorder="1" applyAlignment="1">
      <alignment horizontal="center" vertical="center" wrapText="1"/>
    </xf>
    <xf numFmtId="3" fontId="7" fillId="0" borderId="1" xfId="5" applyNumberFormat="1" applyFont="1" applyBorder="1" applyAlignment="1">
      <alignment horizontal="center" vertical="center" wrapText="1"/>
    </xf>
    <xf numFmtId="3" fontId="4" fillId="0" borderId="1" xfId="8" applyNumberFormat="1" applyFont="1" applyBorder="1"/>
    <xf numFmtId="3" fontId="6" fillId="4" borderId="1" xfId="5" applyNumberFormat="1" applyFont="1" applyFill="1" applyBorder="1" applyAlignment="1">
      <alignment horizontal="right" vertical="top" wrapText="1"/>
    </xf>
    <xf numFmtId="167" fontId="3" fillId="0" borderId="1" xfId="0" quotePrefix="1" applyNumberFormat="1" applyFont="1" applyBorder="1" applyAlignment="1">
      <alignment horizontal="center" vertical="top" wrapText="1"/>
    </xf>
    <xf numFmtId="0" fontId="7" fillId="0" borderId="1" xfId="0" applyFont="1" applyBorder="1" applyAlignment="1">
      <alignment horizontal="center" vertical="top" wrapText="1"/>
    </xf>
    <xf numFmtId="2" fontId="7" fillId="0" borderId="1" xfId="0" applyNumberFormat="1" applyFont="1" applyBorder="1" applyAlignment="1">
      <alignment horizontal="center" vertical="top" wrapText="1"/>
    </xf>
    <xf numFmtId="1" fontId="4" fillId="0" borderId="1" xfId="0" applyNumberFormat="1" applyFont="1" applyBorder="1" applyAlignment="1">
      <alignment horizontal="center" vertical="top" wrapText="1"/>
    </xf>
    <xf numFmtId="167" fontId="4" fillId="0" borderId="1" xfId="0" applyNumberFormat="1" applyFont="1" applyBorder="1" applyAlignment="1">
      <alignment horizontal="left" vertical="top" wrapText="1"/>
    </xf>
    <xf numFmtId="167" fontId="9" fillId="0" borderId="1" xfId="0" applyNumberFormat="1" applyFont="1" applyBorder="1" applyAlignment="1">
      <alignment horizontal="left" vertical="top" wrapText="1"/>
    </xf>
    <xf numFmtId="0" fontId="9" fillId="0" borderId="1" xfId="0" applyFont="1" applyBorder="1" applyAlignment="1">
      <alignment horizontal="center" vertical="top" wrapText="1"/>
    </xf>
    <xf numFmtId="1" fontId="3" fillId="0" borderId="1" xfId="0" applyNumberFormat="1" applyFont="1" applyBorder="1" applyAlignment="1">
      <alignment horizontal="center" vertical="top" wrapText="1"/>
    </xf>
    <xf numFmtId="0" fontId="3" fillId="0" borderId="1" xfId="2" applyNumberFormat="1" applyFont="1" applyFill="1" applyBorder="1" applyAlignment="1">
      <alignment horizontal="center" vertical="top" wrapText="1"/>
    </xf>
    <xf numFmtId="167" fontId="7" fillId="0" borderId="1" xfId="0" applyNumberFormat="1" applyFont="1" applyBorder="1" applyAlignment="1">
      <alignment horizontal="left" vertical="top" wrapText="1"/>
    </xf>
    <xf numFmtId="167" fontId="4" fillId="0" borderId="1" xfId="0" quotePrefix="1" applyNumberFormat="1" applyFont="1" applyBorder="1" applyAlignment="1">
      <alignment horizontal="center" vertical="top" wrapText="1"/>
    </xf>
    <xf numFmtId="1" fontId="9" fillId="0" borderId="1" xfId="0" applyNumberFormat="1" applyFont="1" applyBorder="1" applyAlignment="1">
      <alignment horizontal="center" vertical="top" wrapText="1"/>
    </xf>
    <xf numFmtId="175" fontId="6" fillId="0" borderId="1" xfId="6" applyFont="1" applyFill="1" applyBorder="1" applyAlignment="1">
      <alignment horizontal="center" vertical="top"/>
    </xf>
    <xf numFmtId="167" fontId="3" fillId="0" borderId="1" xfId="0" applyNumberFormat="1" applyFont="1" applyBorder="1" applyAlignment="1">
      <alignment horizontal="center" vertical="top" wrapText="1"/>
    </xf>
    <xf numFmtId="0" fontId="6" fillId="0" borderId="1" xfId="2" applyNumberFormat="1" applyFont="1" applyFill="1" applyBorder="1" applyAlignment="1">
      <alignment horizontal="center" vertical="top" wrapText="1"/>
    </xf>
    <xf numFmtId="167" fontId="4" fillId="0" borderId="1" xfId="0" applyNumberFormat="1" applyFont="1" applyBorder="1" applyAlignment="1">
      <alignment horizontal="center" vertical="top" wrapText="1"/>
    </xf>
    <xf numFmtId="0" fontId="7" fillId="0" borderId="1" xfId="0" quotePrefix="1" applyFont="1" applyBorder="1" applyAlignment="1">
      <alignment horizontal="center" vertical="top" wrapText="1"/>
    </xf>
    <xf numFmtId="0" fontId="6" fillId="0" borderId="1" xfId="2" quotePrefix="1" applyNumberFormat="1" applyFont="1" applyFill="1" applyBorder="1" applyAlignment="1">
      <alignment horizontal="center" vertical="top" wrapText="1"/>
    </xf>
    <xf numFmtId="1" fontId="7" fillId="0" borderId="1" xfId="0" applyNumberFormat="1" applyFont="1" applyBorder="1" applyAlignment="1">
      <alignment horizontal="center" vertical="top" wrapText="1"/>
    </xf>
    <xf numFmtId="1" fontId="7" fillId="0" borderId="1" xfId="0" quotePrefix="1" applyNumberFormat="1" applyFont="1" applyBorder="1" applyAlignment="1">
      <alignment horizontal="center" vertical="top" wrapText="1"/>
    </xf>
    <xf numFmtId="167" fontId="3" fillId="0" borderId="1" xfId="0" applyNumberFormat="1" applyFont="1" applyBorder="1" applyAlignment="1">
      <alignment horizontal="center" vertical="top"/>
    </xf>
    <xf numFmtId="167" fontId="3" fillId="0" borderId="1" xfId="0" applyNumberFormat="1" applyFont="1" applyBorder="1" applyAlignment="1">
      <alignment horizontal="center"/>
    </xf>
    <xf numFmtId="21" fontId="3" fillId="0" borderId="1" xfId="0" applyNumberFormat="1" applyFont="1" applyBorder="1" applyAlignment="1">
      <alignment horizontal="center" vertical="top" wrapText="1"/>
    </xf>
    <xf numFmtId="0" fontId="7" fillId="0" borderId="1" xfId="0" applyFont="1" applyBorder="1" applyAlignment="1">
      <alignment horizontal="left" vertical="top" wrapText="1"/>
    </xf>
    <xf numFmtId="1" fontId="3" fillId="0" borderId="1" xfId="0" quotePrefix="1" applyNumberFormat="1" applyFont="1" applyBorder="1" applyAlignment="1">
      <alignment horizontal="center" vertical="top" wrapText="1"/>
    </xf>
    <xf numFmtId="0" fontId="9" fillId="0" borderId="1" xfId="0" applyFont="1" applyBorder="1" applyAlignment="1">
      <alignment horizontal="left" vertical="top" wrapText="1"/>
    </xf>
    <xf numFmtId="0" fontId="3" fillId="0" borderId="1" xfId="0" quotePrefix="1" applyFont="1" applyBorder="1" applyAlignment="1">
      <alignment horizontal="center" vertical="top" wrapText="1"/>
    </xf>
    <xf numFmtId="0" fontId="4" fillId="8" borderId="1" xfId="0" applyFont="1" applyFill="1" applyBorder="1" applyAlignment="1">
      <alignment horizontal="left" vertical="top" wrapText="1"/>
    </xf>
    <xf numFmtId="0" fontId="9" fillId="8" borderId="1" xfId="0" applyFont="1" applyFill="1" applyBorder="1" applyAlignment="1">
      <alignment horizontal="left" vertical="top" wrapText="1"/>
    </xf>
    <xf numFmtId="167" fontId="3" fillId="0" borderId="1" xfId="0" applyNumberFormat="1" applyFont="1" applyBorder="1" applyAlignment="1">
      <alignment horizontal="center" vertical="center"/>
    </xf>
    <xf numFmtId="0" fontId="7" fillId="0" borderId="1" xfId="0" applyFont="1" applyBorder="1" applyAlignment="1">
      <alignment vertical="top" wrapText="1"/>
    </xf>
    <xf numFmtId="10" fontId="6" fillId="0" borderId="1" xfId="2" quotePrefix="1" applyNumberFormat="1" applyFont="1" applyFill="1" applyBorder="1" applyAlignment="1">
      <alignment horizontal="center" vertical="top"/>
    </xf>
    <xf numFmtId="0" fontId="8" fillId="0" borderId="1" xfId="0" applyFont="1" applyBorder="1" applyAlignment="1">
      <alignment horizontal="left" vertical="top" wrapText="1"/>
    </xf>
    <xf numFmtId="0" fontId="8" fillId="0" borderId="1" xfId="2" applyNumberFormat="1" applyFont="1" applyFill="1" applyBorder="1" applyAlignment="1">
      <alignment horizontal="center" vertical="top"/>
    </xf>
    <xf numFmtId="2" fontId="7" fillId="0" borderId="1" xfId="0" quotePrefix="1" applyNumberFormat="1" applyFont="1" applyBorder="1" applyAlignment="1">
      <alignment horizontal="center" vertical="top" wrapText="1"/>
    </xf>
    <xf numFmtId="167" fontId="3" fillId="0" borderId="1" xfId="0" applyNumberFormat="1" applyFont="1" applyBorder="1" applyAlignment="1">
      <alignment horizontal="left" vertical="top" wrapText="1"/>
    </xf>
    <xf numFmtId="167" fontId="3" fillId="0" borderId="1" xfId="0" applyNumberFormat="1" applyFont="1" applyBorder="1" applyAlignment="1">
      <alignment vertical="top" wrapText="1"/>
    </xf>
    <xf numFmtId="167" fontId="4" fillId="0" borderId="1" xfId="0" applyNumberFormat="1" applyFont="1" applyBorder="1" applyAlignment="1">
      <alignment vertical="top" wrapText="1"/>
    </xf>
    <xf numFmtId="49" fontId="4" fillId="0" borderId="1" xfId="0" applyNumberFormat="1" applyFont="1" applyBorder="1" applyAlignment="1">
      <alignment horizontal="center" vertical="top" wrapText="1"/>
    </xf>
    <xf numFmtId="0" fontId="3" fillId="0" borderId="1" xfId="0" applyFont="1" applyBorder="1" applyAlignment="1">
      <alignment vertical="center"/>
    </xf>
    <xf numFmtId="0" fontId="3" fillId="0" borderId="1" xfId="0" applyFont="1" applyBorder="1" applyAlignment="1">
      <alignment horizontal="center" vertical="center"/>
    </xf>
    <xf numFmtId="0" fontId="7" fillId="0" borderId="1" xfId="0" applyFont="1" applyBorder="1" applyAlignment="1">
      <alignment horizontal="right" vertical="top"/>
    </xf>
    <xf numFmtId="0" fontId="3" fillId="0" borderId="1" xfId="0" applyFont="1" applyBorder="1" applyAlignment="1">
      <alignment vertical="top"/>
    </xf>
    <xf numFmtId="3" fontId="7" fillId="0" borderId="7" xfId="0" applyNumberFormat="1" applyFont="1" applyBorder="1" applyAlignment="1">
      <alignment horizontal="left" vertical="top" shrinkToFit="1"/>
    </xf>
    <xf numFmtId="3" fontId="7" fillId="0" borderId="11" xfId="0" applyNumberFormat="1" applyFont="1" applyBorder="1" applyAlignment="1">
      <alignment horizontal="left" vertical="top" shrinkToFit="1"/>
    </xf>
    <xf numFmtId="3" fontId="7" fillId="0" borderId="2" xfId="0" applyNumberFormat="1" applyFont="1" applyBorder="1" applyAlignment="1">
      <alignment horizontal="left" vertical="top" shrinkToFit="1"/>
    </xf>
    <xf numFmtId="3" fontId="7" fillId="0" borderId="7" xfId="0" applyNumberFormat="1" applyFont="1" applyBorder="1" applyAlignment="1">
      <alignment horizontal="left" vertical="top" indent="1" shrinkToFit="1"/>
    </xf>
    <xf numFmtId="3" fontId="7" fillId="0" borderId="11" xfId="0" applyNumberFormat="1" applyFont="1" applyBorder="1" applyAlignment="1">
      <alignment horizontal="left" vertical="top" indent="1" shrinkToFit="1"/>
    </xf>
    <xf numFmtId="3" fontId="7" fillId="0" borderId="2" xfId="0" applyNumberFormat="1" applyFont="1" applyBorder="1" applyAlignment="1">
      <alignment horizontal="left" vertical="top" indent="1" shrinkToFit="1"/>
    </xf>
    <xf numFmtId="0" fontId="4" fillId="0" borderId="0" xfId="0" applyFont="1" applyAlignment="1">
      <alignment horizontal="center"/>
    </xf>
    <xf numFmtId="0" fontId="7" fillId="2" borderId="7" xfId="0" applyFont="1" applyFill="1" applyBorder="1" applyAlignment="1">
      <alignment horizontal="left" vertical="top" wrapText="1"/>
    </xf>
    <xf numFmtId="0" fontId="7" fillId="2" borderId="11" xfId="0" applyFont="1" applyFill="1" applyBorder="1" applyAlignment="1">
      <alignment horizontal="left" vertical="top" wrapText="1"/>
    </xf>
    <xf numFmtId="0" fontId="7" fillId="2" borderId="14" xfId="0" applyFont="1" applyFill="1" applyBorder="1" applyAlignment="1">
      <alignment horizontal="left" vertical="top" wrapText="1"/>
    </xf>
    <xf numFmtId="0" fontId="7" fillId="2" borderId="12" xfId="0" applyFont="1" applyFill="1" applyBorder="1" applyAlignment="1">
      <alignment horizontal="left" vertical="top" wrapText="1"/>
    </xf>
    <xf numFmtId="0" fontId="6" fillId="2" borderId="7" xfId="0" applyFont="1" applyFill="1" applyBorder="1" applyAlignment="1">
      <alignment horizontal="left" vertical="top" wrapText="1"/>
    </xf>
    <xf numFmtId="0" fontId="8" fillId="4" borderId="11" xfId="0" applyFont="1" applyFill="1" applyBorder="1"/>
    <xf numFmtId="3" fontId="3" fillId="8"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3" fontId="3" fillId="0" borderId="1" xfId="0" applyNumberFormat="1" applyFont="1" applyBorder="1" applyAlignment="1">
      <alignment horizontal="center" vertical="center"/>
    </xf>
    <xf numFmtId="9" fontId="3" fillId="4" borderId="1" xfId="0" applyNumberFormat="1" applyFont="1" applyFill="1" applyBorder="1" applyAlignment="1">
      <alignment horizontal="center" vertical="center"/>
    </xf>
    <xf numFmtId="3" fontId="4" fillId="0" borderId="1" xfId="0" applyNumberFormat="1" applyFont="1" applyBorder="1" applyAlignment="1">
      <alignment horizontal="center" vertical="center"/>
    </xf>
    <xf numFmtId="0" fontId="4" fillId="4" borderId="1" xfId="0" applyFont="1" applyFill="1" applyBorder="1" applyAlignment="1">
      <alignment horizontal="center" vertical="center"/>
    </xf>
    <xf numFmtId="3" fontId="4" fillId="4" borderId="1" xfId="0" applyNumberFormat="1" applyFont="1" applyFill="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left" wrapText="1"/>
    </xf>
    <xf numFmtId="0" fontId="3" fillId="0" borderId="1" xfId="0" applyFont="1" applyBorder="1" applyAlignment="1">
      <alignment horizontal="left" vertical="center" wrapText="1"/>
    </xf>
    <xf numFmtId="9" fontId="4" fillId="4" borderId="1" xfId="0" applyNumberFormat="1" applyFont="1" applyFill="1" applyBorder="1" applyAlignment="1">
      <alignment horizontal="center" vertical="center"/>
    </xf>
    <xf numFmtId="3" fontId="3" fillId="4" borderId="1" xfId="0" applyNumberFormat="1" applyFont="1" applyFill="1" applyBorder="1" applyAlignment="1">
      <alignment horizontal="center" vertical="center"/>
    </xf>
    <xf numFmtId="0" fontId="3" fillId="0" borderId="1" xfId="0" applyFont="1" applyBorder="1" applyAlignment="1">
      <alignment horizontal="center" vertical="center" wrapText="1"/>
    </xf>
    <xf numFmtId="9" fontId="3" fillId="0" borderId="1" xfId="0" applyNumberFormat="1" applyFont="1" applyBorder="1" applyAlignment="1">
      <alignment horizontal="center" vertical="center"/>
    </xf>
    <xf numFmtId="0" fontId="4" fillId="0" borderId="1" xfId="0" applyFont="1" applyBorder="1" applyAlignment="1">
      <alignment horizontal="center" vertical="center"/>
    </xf>
    <xf numFmtId="9" fontId="4" fillId="0" borderId="1" xfId="0" applyNumberFormat="1" applyFont="1" applyBorder="1" applyAlignment="1">
      <alignment horizontal="center" vertical="center"/>
    </xf>
    <xf numFmtId="0" fontId="4" fillId="8" borderId="1" xfId="0" applyFont="1" applyFill="1" applyBorder="1" applyAlignment="1">
      <alignment horizontal="left" wrapText="1"/>
    </xf>
    <xf numFmtId="0" fontId="3" fillId="0" borderId="21" xfId="0" applyFont="1" applyBorder="1" applyAlignment="1">
      <alignment horizontal="center" vertical="top" wrapText="1"/>
    </xf>
    <xf numFmtId="0" fontId="3" fillId="0" borderId="22" xfId="0" applyFont="1" applyBorder="1" applyAlignment="1">
      <alignment horizontal="center" vertical="top" wrapText="1"/>
    </xf>
    <xf numFmtId="0" fontId="3" fillId="0" borderId="18" xfId="0" applyFont="1" applyBorder="1" applyAlignment="1">
      <alignment horizontal="center" vertical="top" wrapText="1"/>
    </xf>
    <xf numFmtId="0" fontId="3" fillId="4" borderId="21" xfId="0" applyFont="1" applyFill="1" applyBorder="1" applyAlignment="1">
      <alignment horizontal="center" vertical="top" wrapText="1"/>
    </xf>
    <xf numFmtId="0" fontId="3" fillId="4" borderId="22" xfId="0" applyFont="1" applyFill="1" applyBorder="1" applyAlignment="1">
      <alignment horizontal="center" vertical="top" wrapText="1"/>
    </xf>
    <xf numFmtId="0" fontId="3" fillId="4" borderId="18" xfId="0" applyFont="1" applyFill="1" applyBorder="1" applyAlignment="1">
      <alignment horizontal="center" vertical="top" wrapText="1"/>
    </xf>
    <xf numFmtId="0" fontId="3" fillId="0" borderId="1" xfId="0" applyFont="1" applyBorder="1" applyAlignment="1">
      <alignment horizontal="left" vertical="center"/>
    </xf>
    <xf numFmtId="3" fontId="3" fillId="0" borderId="1" xfId="0" applyNumberFormat="1" applyFont="1" applyBorder="1" applyAlignment="1">
      <alignment horizontal="left" vertical="center"/>
    </xf>
    <xf numFmtId="0" fontId="3" fillId="0" borderId="1" xfId="0" applyFont="1" applyBorder="1" applyAlignment="1">
      <alignment horizontal="left"/>
    </xf>
    <xf numFmtId="9" fontId="3" fillId="0" borderId="1" xfId="0" applyNumberFormat="1" applyFont="1" applyBorder="1" applyAlignment="1">
      <alignment horizontal="left"/>
    </xf>
    <xf numFmtId="3" fontId="3" fillId="0" borderId="1" xfId="0" applyNumberFormat="1" applyFont="1" applyBorder="1" applyAlignment="1">
      <alignment horizontal="left"/>
    </xf>
    <xf numFmtId="0" fontId="4" fillId="0" borderId="1" xfId="0" applyFont="1" applyBorder="1" applyAlignment="1">
      <alignment horizontal="left"/>
    </xf>
    <xf numFmtId="3" fontId="4" fillId="0" borderId="1" xfId="0" applyNumberFormat="1" applyFont="1" applyBorder="1" applyAlignment="1">
      <alignment horizontal="left"/>
    </xf>
    <xf numFmtId="9" fontId="4" fillId="0" borderId="1" xfId="0" applyNumberFormat="1" applyFont="1" applyBorder="1" applyAlignment="1">
      <alignment horizontal="left"/>
    </xf>
    <xf numFmtId="0" fontId="4" fillId="0" borderId="1" xfId="0" applyFont="1" applyBorder="1" applyAlignment="1">
      <alignment horizontal="center"/>
    </xf>
    <xf numFmtId="0" fontId="3" fillId="0" borderId="1" xfId="0" applyFont="1" applyBorder="1" applyAlignment="1">
      <alignment horizontal="center"/>
    </xf>
    <xf numFmtId="0" fontId="4" fillId="0" borderId="1" xfId="0" applyFont="1" applyBorder="1" applyAlignment="1">
      <alignment horizontal="center" wrapText="1"/>
    </xf>
    <xf numFmtId="4" fontId="4" fillId="0" borderId="1" xfId="0" applyNumberFormat="1" applyFont="1" applyBorder="1" applyAlignment="1">
      <alignment horizontal="left"/>
    </xf>
    <xf numFmtId="3" fontId="4" fillId="0" borderId="1" xfId="0" applyNumberFormat="1" applyFont="1" applyBorder="1" applyAlignment="1">
      <alignment horizontal="center"/>
    </xf>
    <xf numFmtId="0" fontId="8" fillId="0" borderId="21" xfId="0" applyFont="1" applyBorder="1" applyAlignment="1">
      <alignment horizontal="center" vertical="top" wrapText="1"/>
    </xf>
    <xf numFmtId="0" fontId="8" fillId="0" borderId="22" xfId="0" applyFont="1" applyBorder="1" applyAlignment="1">
      <alignment horizontal="center" vertical="top" wrapText="1"/>
    </xf>
    <xf numFmtId="0" fontId="8" fillId="0" borderId="18" xfId="0" applyFont="1" applyBorder="1" applyAlignment="1">
      <alignment horizontal="center" vertical="top" wrapText="1"/>
    </xf>
    <xf numFmtId="0" fontId="3" fillId="0" borderId="21" xfId="0" applyFont="1" applyBorder="1" applyAlignment="1">
      <alignment horizontal="left" vertical="top" wrapText="1"/>
    </xf>
    <xf numFmtId="0" fontId="3" fillId="0" borderId="22" xfId="0" applyFont="1" applyBorder="1" applyAlignment="1">
      <alignment horizontal="left" vertical="top" wrapText="1"/>
    </xf>
    <xf numFmtId="0" fontId="3" fillId="0" borderId="18" xfId="0" applyFont="1" applyBorder="1" applyAlignment="1">
      <alignment horizontal="left" vertical="top" wrapText="1"/>
    </xf>
    <xf numFmtId="0" fontId="4" fillId="0" borderId="7" xfId="0" applyFont="1" applyBorder="1" applyAlignment="1">
      <alignment horizontal="left" vertical="top" wrapText="1"/>
    </xf>
    <xf numFmtId="0" fontId="4" fillId="0" borderId="9" xfId="0" applyFont="1" applyBorder="1" applyAlignment="1">
      <alignment horizontal="left" vertical="top" wrapText="1"/>
    </xf>
    <xf numFmtId="0" fontId="6" fillId="0" borderId="19"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6" fillId="0" borderId="14" xfId="0" applyFont="1" applyBorder="1" applyAlignment="1">
      <alignment horizontal="left" vertical="top" wrapText="1"/>
    </xf>
    <xf numFmtId="2" fontId="7" fillId="0" borderId="7" xfId="0" applyNumberFormat="1" applyFont="1" applyBorder="1" applyAlignment="1">
      <alignment horizontal="left" vertical="top" shrinkToFit="1"/>
    </xf>
    <xf numFmtId="169" fontId="7" fillId="0" borderId="7" xfId="0" applyNumberFormat="1" applyFont="1" applyBorder="1" applyAlignment="1">
      <alignment horizontal="left" vertical="top" shrinkToFit="1"/>
    </xf>
    <xf numFmtId="1" fontId="7" fillId="0" borderId="7" xfId="0" applyNumberFormat="1" applyFont="1" applyBorder="1" applyAlignment="1">
      <alignment horizontal="left" vertical="top" shrinkToFit="1"/>
    </xf>
    <xf numFmtId="171" fontId="7" fillId="0" borderId="7" xfId="0" applyNumberFormat="1" applyFont="1" applyBorder="1" applyAlignment="1">
      <alignment horizontal="left" vertical="top" shrinkToFit="1"/>
    </xf>
    <xf numFmtId="172" fontId="7" fillId="0" borderId="4" xfId="0" applyNumberFormat="1" applyFont="1" applyBorder="1" applyAlignment="1">
      <alignment horizontal="left" vertical="top" shrinkToFit="1"/>
    </xf>
    <xf numFmtId="172" fontId="7" fillId="0" borderId="7" xfId="0" applyNumberFormat="1" applyFont="1" applyBorder="1" applyAlignment="1">
      <alignment horizontal="left" vertical="top" shrinkToFit="1"/>
    </xf>
    <xf numFmtId="3" fontId="9" fillId="0" borderId="7" xfId="0" applyNumberFormat="1" applyFont="1" applyBorder="1" applyAlignment="1">
      <alignment horizontal="left" vertical="top" shrinkToFit="1"/>
    </xf>
    <xf numFmtId="0" fontId="4" fillId="0" borderId="5" xfId="0" applyFont="1" applyBorder="1" applyAlignment="1">
      <alignment horizontal="left" vertical="top" wrapText="1"/>
    </xf>
    <xf numFmtId="1" fontId="7" fillId="0" borderId="4" xfId="0" applyNumberFormat="1" applyFont="1" applyBorder="1" applyAlignment="1">
      <alignment horizontal="left" vertical="top" shrinkToFit="1"/>
    </xf>
    <xf numFmtId="173" fontId="7" fillId="0" borderId="7" xfId="0" applyNumberFormat="1" applyFont="1" applyBorder="1" applyAlignment="1">
      <alignment horizontal="left" vertical="top" shrinkToFit="1"/>
    </xf>
    <xf numFmtId="173" fontId="7" fillId="0" borderId="11" xfId="0" applyNumberFormat="1" applyFont="1" applyBorder="1" applyAlignment="1">
      <alignment horizontal="left" vertical="top" shrinkToFit="1"/>
    </xf>
    <xf numFmtId="0" fontId="6" fillId="0" borderId="20" xfId="0" applyFont="1" applyBorder="1" applyAlignment="1">
      <alignment horizontal="left" vertical="top" wrapText="1"/>
    </xf>
    <xf numFmtId="173" fontId="7" fillId="0" borderId="2" xfId="0" applyNumberFormat="1" applyFont="1" applyBorder="1" applyAlignment="1">
      <alignment horizontal="left" vertical="top" shrinkToFit="1"/>
    </xf>
    <xf numFmtId="0" fontId="6" fillId="0" borderId="3" xfId="0" applyFont="1" applyBorder="1" applyAlignment="1">
      <alignment horizontal="left" vertical="top" wrapText="1"/>
    </xf>
    <xf numFmtId="0" fontId="6" fillId="0" borderId="15" xfId="0" applyFont="1" applyBorder="1" applyAlignment="1">
      <alignment horizontal="left" vertical="top" wrapText="1"/>
    </xf>
    <xf numFmtId="0" fontId="4" fillId="0" borderId="10" xfId="0" applyFont="1" applyBorder="1" applyAlignment="1">
      <alignment horizontal="left" vertical="center" wrapText="1"/>
    </xf>
    <xf numFmtId="0" fontId="4" fillId="0" borderId="5" xfId="0" applyFont="1" applyBorder="1" applyAlignment="1">
      <alignment horizontal="left" vertical="center" wrapText="1"/>
    </xf>
    <xf numFmtId="0" fontId="3" fillId="9" borderId="1" xfId="0" applyFont="1" applyFill="1" applyBorder="1" applyAlignment="1">
      <alignment horizontal="left" vertical="top" wrapText="1"/>
    </xf>
    <xf numFmtId="0" fontId="3" fillId="9" borderId="1" xfId="0" applyFont="1" applyFill="1" applyBorder="1" applyAlignment="1">
      <alignment horizontal="left" vertical="center"/>
    </xf>
    <xf numFmtId="0" fontId="3" fillId="9" borderId="1" xfId="0" applyFont="1" applyFill="1" applyBorder="1" applyAlignment="1">
      <alignment horizontal="left" vertical="top" wrapText="1"/>
    </xf>
    <xf numFmtId="164" fontId="3" fillId="9" borderId="1" xfId="1" applyNumberFormat="1" applyFont="1" applyFill="1" applyBorder="1" applyAlignment="1">
      <alignment horizontal="left" vertical="top" wrapText="1"/>
    </xf>
    <xf numFmtId="20" fontId="3" fillId="0" borderId="1" xfId="0" applyNumberFormat="1" applyFont="1" applyBorder="1" applyAlignment="1">
      <alignment horizontal="left" vertical="top" wrapText="1"/>
    </xf>
    <xf numFmtId="3" fontId="3" fillId="0" borderId="1" xfId="0" applyNumberFormat="1" applyFont="1" applyBorder="1" applyAlignment="1">
      <alignment horizontal="left" vertical="top" wrapText="1"/>
    </xf>
    <xf numFmtId="164" fontId="3" fillId="0" borderId="1" xfId="1" applyNumberFormat="1" applyFont="1" applyBorder="1" applyAlignment="1">
      <alignment horizontal="left" vertical="top" wrapText="1"/>
    </xf>
    <xf numFmtId="164" fontId="3" fillId="0" borderId="1" xfId="0" applyNumberFormat="1" applyFont="1" applyBorder="1" applyAlignment="1">
      <alignment horizontal="left" vertical="top" wrapText="1"/>
    </xf>
    <xf numFmtId="0" fontId="4" fillId="0" borderId="1" xfId="0" applyFont="1" applyBorder="1" applyAlignment="1">
      <alignment horizontal="left" vertical="top"/>
    </xf>
    <xf numFmtId="0" fontId="5" fillId="0" borderId="1" xfId="0" applyFont="1" applyBorder="1" applyAlignment="1">
      <alignment horizontal="left" vertical="top" wrapText="1"/>
    </xf>
    <xf numFmtId="3" fontId="4" fillId="0" borderId="1" xfId="0" applyNumberFormat="1" applyFont="1" applyBorder="1" applyAlignment="1">
      <alignment horizontal="left" vertical="top" wrapText="1"/>
    </xf>
    <xf numFmtId="164" fontId="4" fillId="0" borderId="1" xfId="1" applyNumberFormat="1" applyFont="1" applyBorder="1" applyAlignment="1">
      <alignment horizontal="left" vertical="top" wrapText="1"/>
    </xf>
    <xf numFmtId="164" fontId="4" fillId="0" borderId="1" xfId="0" applyNumberFormat="1" applyFont="1" applyBorder="1" applyAlignment="1">
      <alignment horizontal="left" vertical="top" wrapText="1"/>
    </xf>
    <xf numFmtId="164" fontId="4" fillId="0" borderId="1" xfId="1" applyNumberFormat="1" applyFont="1" applyBorder="1" applyAlignment="1">
      <alignment horizontal="left" vertical="top"/>
    </xf>
    <xf numFmtId="9" fontId="4" fillId="0" borderId="1" xfId="0" applyNumberFormat="1" applyFont="1" applyBorder="1" applyAlignment="1">
      <alignment horizontal="left" vertical="top" wrapText="1"/>
    </xf>
    <xf numFmtId="0" fontId="6" fillId="0" borderId="7" xfId="0" applyFont="1" applyBorder="1" applyAlignment="1">
      <alignment horizontal="center" vertical="top" wrapText="1"/>
    </xf>
    <xf numFmtId="0" fontId="6" fillId="0" borderId="11" xfId="0" applyFont="1" applyBorder="1" applyAlignment="1">
      <alignment horizontal="center" vertical="top" wrapText="1"/>
    </xf>
    <xf numFmtId="0" fontId="6" fillId="0" borderId="2" xfId="0" applyFont="1" applyBorder="1" applyAlignment="1">
      <alignment horizontal="center" vertical="top" wrapText="1"/>
    </xf>
    <xf numFmtId="0" fontId="6" fillId="0" borderId="7" xfId="0" applyFont="1" applyBorder="1" applyAlignment="1">
      <alignment horizontal="left" vertical="top" wrapText="1"/>
    </xf>
    <xf numFmtId="0" fontId="6" fillId="0" borderId="11" xfId="0" applyFont="1" applyBorder="1" applyAlignment="1">
      <alignment horizontal="left" vertical="top" wrapText="1"/>
    </xf>
    <xf numFmtId="0" fontId="6" fillId="0" borderId="2" xfId="0" applyFont="1" applyBorder="1" applyAlignment="1">
      <alignment horizontal="left" vertical="top" wrapText="1"/>
    </xf>
    <xf numFmtId="0" fontId="6" fillId="0" borderId="14" xfId="0" applyFont="1" applyBorder="1" applyAlignment="1">
      <alignment horizontal="center" vertical="top" wrapText="1"/>
    </xf>
    <xf numFmtId="171" fontId="7" fillId="0" borderId="7" xfId="0" applyNumberFormat="1" applyFont="1" applyBorder="1" applyAlignment="1">
      <alignment horizontal="left" vertical="top" wrapText="1" shrinkToFit="1"/>
    </xf>
    <xf numFmtId="171" fontId="7" fillId="0" borderId="11" xfId="0" applyNumberFormat="1" applyFont="1" applyBorder="1" applyAlignment="1">
      <alignment horizontal="left" vertical="top" wrapText="1" shrinkToFit="1"/>
    </xf>
    <xf numFmtId="171" fontId="7" fillId="0" borderId="2" xfId="0" applyNumberFormat="1" applyFont="1" applyBorder="1" applyAlignment="1">
      <alignment horizontal="left" vertical="top" wrapText="1" shrinkToFit="1"/>
    </xf>
    <xf numFmtId="1" fontId="7" fillId="0" borderId="7" xfId="0" applyNumberFormat="1" applyFont="1" applyBorder="1" applyAlignment="1">
      <alignment horizontal="left" vertical="top" shrinkToFit="1"/>
    </xf>
    <xf numFmtId="1" fontId="7" fillId="0" borderId="11" xfId="0" applyNumberFormat="1" applyFont="1" applyBorder="1" applyAlignment="1">
      <alignment horizontal="left" vertical="top" shrinkToFit="1"/>
    </xf>
    <xf numFmtId="1" fontId="7" fillId="0" borderId="2" xfId="0" applyNumberFormat="1" applyFont="1" applyBorder="1" applyAlignment="1">
      <alignment horizontal="left" vertical="top" shrinkToFit="1"/>
    </xf>
    <xf numFmtId="0" fontId="6" fillId="0" borderId="12" xfId="0" applyFont="1" applyBorder="1" applyAlignment="1">
      <alignment horizontal="center" vertical="top" wrapText="1"/>
    </xf>
    <xf numFmtId="0" fontId="6" fillId="0" borderId="13" xfId="0" applyFont="1" applyBorder="1" applyAlignment="1">
      <alignment horizontal="center" vertical="top" wrapText="1"/>
    </xf>
    <xf numFmtId="0" fontId="3" fillId="4" borderId="21" xfId="9" applyFont="1" applyFill="1" applyBorder="1" applyAlignment="1">
      <alignment vertical="justify"/>
    </xf>
    <xf numFmtId="0" fontId="3" fillId="4" borderId="22" xfId="9" applyFont="1" applyFill="1" applyBorder="1" applyAlignment="1">
      <alignment vertical="justify"/>
    </xf>
    <xf numFmtId="0" fontId="3" fillId="4" borderId="18" xfId="9" applyFont="1" applyFill="1" applyBorder="1" applyAlignment="1">
      <alignment vertical="justify"/>
    </xf>
    <xf numFmtId="175" fontId="3" fillId="4" borderId="1" xfId="4" applyNumberFormat="1" applyFont="1" applyFill="1" applyBorder="1" applyAlignment="1">
      <alignment horizontal="left" vertical="center" wrapText="1"/>
    </xf>
    <xf numFmtId="9" fontId="6" fillId="0" borderId="1" xfId="3" applyFont="1" applyFill="1" applyBorder="1" applyAlignment="1">
      <alignment horizontal="left" vertical="top" wrapText="1"/>
    </xf>
    <xf numFmtId="167" fontId="8" fillId="4" borderId="1" xfId="6" applyNumberFormat="1" applyFont="1" applyFill="1" applyBorder="1" applyAlignment="1">
      <alignment horizontal="left" vertical="top"/>
    </xf>
    <xf numFmtId="167" fontId="6" fillId="0" borderId="1" xfId="5" applyNumberFormat="1" applyFont="1" applyBorder="1" applyAlignment="1">
      <alignment horizontal="left" vertical="top" wrapText="1"/>
    </xf>
    <xf numFmtId="167" fontId="6" fillId="0" borderId="1" xfId="4" applyNumberFormat="1" applyFont="1" applyFill="1" applyBorder="1" applyAlignment="1">
      <alignment horizontal="left" vertical="top"/>
    </xf>
    <xf numFmtId="167" fontId="8" fillId="4" borderId="1" xfId="4" applyNumberFormat="1" applyFont="1" applyFill="1" applyBorder="1" applyAlignment="1">
      <alignment horizontal="left" vertical="top"/>
    </xf>
    <xf numFmtId="167" fontId="6" fillId="4" borderId="1" xfId="4" applyNumberFormat="1" applyFont="1" applyFill="1" applyBorder="1" applyAlignment="1">
      <alignment horizontal="left" vertical="top"/>
    </xf>
    <xf numFmtId="3" fontId="8" fillId="0" borderId="1" xfId="4" applyNumberFormat="1" applyFont="1" applyFill="1" applyBorder="1" applyAlignment="1">
      <alignment horizontal="left" vertical="top" wrapText="1"/>
    </xf>
    <xf numFmtId="3" fontId="6" fillId="4" borderId="1" xfId="5" applyNumberFormat="1" applyFont="1" applyFill="1" applyBorder="1" applyAlignment="1">
      <alignment horizontal="left" vertical="center" wrapText="1"/>
    </xf>
    <xf numFmtId="165" fontId="3" fillId="0" borderId="1" xfId="0" applyNumberFormat="1" applyFont="1" applyBorder="1" applyAlignment="1">
      <alignment horizontal="left" vertical="top" wrapText="1"/>
    </xf>
    <xf numFmtId="9" fontId="3" fillId="0" borderId="1" xfId="0" applyNumberFormat="1" applyFont="1" applyBorder="1" applyAlignment="1">
      <alignment horizontal="left" vertical="top" wrapText="1"/>
    </xf>
    <xf numFmtId="3" fontId="7" fillId="2" borderId="16" xfId="0" applyNumberFormat="1" applyFont="1" applyFill="1" applyBorder="1" applyAlignment="1">
      <alignment horizontal="left" vertical="top" shrinkToFit="1"/>
    </xf>
    <xf numFmtId="9" fontId="7" fillId="2" borderId="16" xfId="0" applyNumberFormat="1" applyFont="1" applyFill="1" applyBorder="1" applyAlignment="1">
      <alignment horizontal="left" vertical="top" shrinkToFit="1"/>
    </xf>
    <xf numFmtId="0" fontId="6" fillId="2" borderId="17" xfId="0" applyFont="1" applyFill="1" applyBorder="1" applyAlignment="1">
      <alignment horizontal="left" vertical="top" wrapText="1"/>
    </xf>
    <xf numFmtId="3" fontId="7" fillId="3" borderId="7" xfId="0" applyNumberFormat="1" applyFont="1" applyFill="1" applyBorder="1" applyAlignment="1">
      <alignment horizontal="left" vertical="top" shrinkToFit="1"/>
    </xf>
    <xf numFmtId="9" fontId="6" fillId="3" borderId="7" xfId="0" applyNumberFormat="1" applyFont="1" applyFill="1" applyBorder="1" applyAlignment="1">
      <alignment horizontal="left" vertical="top" wrapText="1"/>
    </xf>
    <xf numFmtId="9" fontId="6" fillId="3" borderId="4" xfId="0" applyNumberFormat="1" applyFont="1" applyFill="1" applyBorder="1" applyAlignment="1">
      <alignment horizontal="left" vertical="top" wrapText="1"/>
    </xf>
    <xf numFmtId="3" fontId="7" fillId="3" borderId="4" xfId="0" applyNumberFormat="1" applyFont="1" applyFill="1" applyBorder="1" applyAlignment="1">
      <alignment horizontal="left" vertical="top" shrinkToFit="1"/>
    </xf>
    <xf numFmtId="0" fontId="6" fillId="3" borderId="5" xfId="0" applyFont="1" applyFill="1" applyBorder="1" applyAlignment="1">
      <alignment horizontal="left" vertical="top" wrapText="1"/>
    </xf>
    <xf numFmtId="166" fontId="4" fillId="4" borderId="1" xfId="1" applyNumberFormat="1" applyFont="1" applyFill="1" applyBorder="1" applyAlignment="1">
      <alignment horizontal="left" vertical="top"/>
    </xf>
    <xf numFmtId="0" fontId="8" fillId="4" borderId="5" xfId="0" applyFont="1" applyFill="1" applyBorder="1" applyAlignment="1">
      <alignment horizontal="left" vertical="top" wrapText="1"/>
    </xf>
    <xf numFmtId="167" fontId="9" fillId="4" borderId="4" xfId="0" applyNumberFormat="1" applyFont="1" applyFill="1" applyBorder="1" applyAlignment="1">
      <alignment horizontal="left" vertical="top" shrinkToFit="1"/>
    </xf>
    <xf numFmtId="166" fontId="9" fillId="4" borderId="4" xfId="0" applyNumberFormat="1" applyFont="1" applyFill="1" applyBorder="1" applyAlignment="1">
      <alignment horizontal="left" vertical="top" shrinkToFit="1"/>
    </xf>
    <xf numFmtId="3" fontId="9" fillId="4" borderId="4" xfId="0" applyNumberFormat="1" applyFont="1" applyFill="1" applyBorder="1" applyAlignment="1">
      <alignment horizontal="left" vertical="top" shrinkToFit="1"/>
    </xf>
    <xf numFmtId="3" fontId="7" fillId="3" borderId="1" xfId="0" applyNumberFormat="1" applyFont="1" applyFill="1" applyBorder="1" applyAlignment="1">
      <alignment horizontal="left" vertical="top" shrinkToFit="1"/>
    </xf>
    <xf numFmtId="9" fontId="6" fillId="3" borderId="1" xfId="0" applyNumberFormat="1" applyFont="1" applyFill="1" applyBorder="1" applyAlignment="1">
      <alignment horizontal="left" vertical="top" wrapText="1"/>
    </xf>
    <xf numFmtId="9" fontId="6" fillId="3" borderId="5" xfId="0" applyNumberFormat="1" applyFont="1" applyFill="1" applyBorder="1" applyAlignment="1">
      <alignment horizontal="left" vertical="top" wrapText="1"/>
    </xf>
    <xf numFmtId="0" fontId="8" fillId="4" borderId="9" xfId="0" applyFont="1" applyFill="1" applyBorder="1" applyAlignment="1">
      <alignment horizontal="left" vertical="top" wrapText="1"/>
    </xf>
    <xf numFmtId="167" fontId="9" fillId="4" borderId="7" xfId="0" applyNumberFormat="1" applyFont="1" applyFill="1" applyBorder="1" applyAlignment="1">
      <alignment horizontal="left" vertical="top" shrinkToFit="1"/>
    </xf>
    <xf numFmtId="166" fontId="9" fillId="4" borderId="7" xfId="0" applyNumberFormat="1" applyFont="1" applyFill="1" applyBorder="1" applyAlignment="1">
      <alignment horizontal="left" vertical="top" shrinkToFit="1"/>
    </xf>
    <xf numFmtId="3" fontId="9" fillId="4" borderId="7" xfId="0" applyNumberFormat="1" applyFont="1" applyFill="1" applyBorder="1" applyAlignment="1">
      <alignment horizontal="left" vertical="top" shrinkToFit="1"/>
    </xf>
    <xf numFmtId="166" fontId="4" fillId="4" borderId="18" xfId="1" applyNumberFormat="1" applyFont="1" applyFill="1" applyBorder="1" applyAlignment="1">
      <alignment horizontal="left" vertical="top"/>
    </xf>
    <xf numFmtId="0" fontId="8" fillId="4" borderId="18" xfId="0" applyFont="1" applyFill="1" applyBorder="1" applyAlignment="1">
      <alignment horizontal="left" vertical="top" wrapText="1"/>
    </xf>
    <xf numFmtId="167" fontId="9" fillId="4" borderId="1" xfId="0" applyNumberFormat="1" applyFont="1" applyFill="1" applyBorder="1" applyAlignment="1">
      <alignment horizontal="left" vertical="top" shrinkToFit="1"/>
    </xf>
    <xf numFmtId="166" fontId="9" fillId="4" borderId="1" xfId="0" applyNumberFormat="1" applyFont="1" applyFill="1" applyBorder="1" applyAlignment="1">
      <alignment horizontal="left" vertical="top" shrinkToFit="1"/>
    </xf>
    <xf numFmtId="3" fontId="9" fillId="4" borderId="1" xfId="0" applyNumberFormat="1" applyFont="1" applyFill="1" applyBorder="1" applyAlignment="1">
      <alignment horizontal="left" vertical="top" shrinkToFit="1"/>
    </xf>
    <xf numFmtId="3" fontId="7" fillId="3" borderId="2" xfId="0" applyNumberFormat="1" applyFont="1" applyFill="1" applyBorder="1" applyAlignment="1">
      <alignment horizontal="left" vertical="top" shrinkToFit="1"/>
    </xf>
    <xf numFmtId="9" fontId="6" fillId="3" borderId="2" xfId="0" applyNumberFormat="1" applyFont="1" applyFill="1" applyBorder="1" applyAlignment="1">
      <alignment horizontal="left" vertical="top" wrapText="1"/>
    </xf>
    <xf numFmtId="0" fontId="6" fillId="3" borderId="3" xfId="0" applyFont="1" applyFill="1" applyBorder="1" applyAlignment="1">
      <alignment horizontal="left" vertical="top" wrapText="1"/>
    </xf>
    <xf numFmtId="166" fontId="4" fillId="4" borderId="8" xfId="1" applyNumberFormat="1" applyFont="1" applyFill="1" applyBorder="1" applyAlignment="1">
      <alignment horizontal="left" vertical="top"/>
    </xf>
    <xf numFmtId="3" fontId="6" fillId="2" borderId="1" xfId="0" applyNumberFormat="1" applyFont="1" applyFill="1" applyBorder="1" applyAlignment="1">
      <alignment horizontal="left" vertical="top" wrapText="1"/>
    </xf>
    <xf numFmtId="167" fontId="6" fillId="6" borderId="1" xfId="0" applyNumberFormat="1" applyFont="1" applyFill="1" applyBorder="1" applyAlignment="1">
      <alignment horizontal="left" vertical="top" wrapText="1"/>
    </xf>
    <xf numFmtId="1" fontId="6" fillId="6" borderId="1" xfId="0" applyNumberFormat="1" applyFont="1" applyFill="1" applyBorder="1" applyAlignment="1">
      <alignment horizontal="left" vertical="top" wrapText="1"/>
    </xf>
    <xf numFmtId="3" fontId="8" fillId="4" borderId="2" xfId="0" applyNumberFormat="1" applyFont="1" applyFill="1" applyBorder="1" applyAlignment="1">
      <alignment horizontal="left" vertical="top" wrapText="1"/>
    </xf>
    <xf numFmtId="0" fontId="9" fillId="4" borderId="3" xfId="0" applyFont="1" applyFill="1" applyBorder="1" applyAlignment="1">
      <alignment horizontal="left" vertical="top" wrapText="1"/>
    </xf>
    <xf numFmtId="167" fontId="8" fillId="4" borderId="2" xfId="0" applyNumberFormat="1" applyFont="1" applyFill="1" applyBorder="1" applyAlignment="1">
      <alignment horizontal="left" vertical="top" wrapText="1"/>
    </xf>
    <xf numFmtId="166" fontId="9" fillId="4" borderId="2" xfId="0" applyNumberFormat="1" applyFont="1" applyFill="1" applyBorder="1" applyAlignment="1">
      <alignment horizontal="left" vertical="top" shrinkToFit="1"/>
    </xf>
    <xf numFmtId="3" fontId="9" fillId="4" borderId="2" xfId="0" applyNumberFormat="1" applyFont="1" applyFill="1" applyBorder="1" applyAlignment="1">
      <alignment horizontal="left" vertical="top" shrinkToFit="1"/>
    </xf>
    <xf numFmtId="0" fontId="8" fillId="4" borderId="3" xfId="0" applyFont="1" applyFill="1" applyBorder="1" applyAlignment="1">
      <alignment horizontal="left" vertical="top" wrapText="1"/>
    </xf>
    <xf numFmtId="3" fontId="8" fillId="4" borderId="4" xfId="0" applyNumberFormat="1" applyFont="1" applyFill="1" applyBorder="1" applyAlignment="1">
      <alignment horizontal="left" vertical="top" wrapText="1"/>
    </xf>
    <xf numFmtId="0" fontId="9" fillId="4" borderId="5" xfId="0" applyFont="1" applyFill="1" applyBorder="1" applyAlignment="1">
      <alignment horizontal="left" vertical="top" wrapText="1"/>
    </xf>
    <xf numFmtId="167" fontId="8" fillId="4" borderId="4" xfId="0" applyNumberFormat="1" applyFont="1" applyFill="1" applyBorder="1" applyAlignment="1">
      <alignment horizontal="left" vertical="top" wrapText="1"/>
    </xf>
    <xf numFmtId="166" fontId="8" fillId="4" borderId="4" xfId="1" applyNumberFormat="1" applyFont="1" applyFill="1" applyBorder="1" applyAlignment="1">
      <alignment horizontal="left" vertical="top" wrapText="1"/>
    </xf>
    <xf numFmtId="166" fontId="4" fillId="4" borderId="6" xfId="1" applyNumberFormat="1" applyFont="1" applyFill="1" applyBorder="1" applyAlignment="1">
      <alignment horizontal="left" vertical="top"/>
    </xf>
    <xf numFmtId="0" fontId="8" fillId="4" borderId="23" xfId="0" applyFont="1" applyFill="1" applyBorder="1" applyAlignment="1">
      <alignment vertical="center"/>
    </xf>
    <xf numFmtId="0" fontId="8" fillId="4" borderId="24" xfId="0" applyFont="1" applyFill="1" applyBorder="1" applyAlignment="1">
      <alignment vertical="center"/>
    </xf>
    <xf numFmtId="3" fontId="7" fillId="7" borderId="25" xfId="0" applyNumberFormat="1" applyFont="1" applyFill="1" applyBorder="1" applyAlignment="1">
      <alignment horizontal="right" vertical="center"/>
    </xf>
    <xf numFmtId="0" fontId="6" fillId="7" borderId="25" xfId="0" applyFont="1" applyFill="1" applyBorder="1" applyAlignment="1">
      <alignment horizontal="center" vertical="center" wrapText="1"/>
    </xf>
    <xf numFmtId="0" fontId="3" fillId="0" borderId="0" xfId="0" applyFont="1" applyBorder="1" applyAlignment="1">
      <alignment horizontal="center" vertical="top" wrapText="1"/>
    </xf>
    <xf numFmtId="0" fontId="3" fillId="0" borderId="0" xfId="0" applyFont="1" applyBorder="1" applyAlignment="1">
      <alignment vertical="center"/>
    </xf>
    <xf numFmtId="0" fontId="4" fillId="0" borderId="0" xfId="0" applyFont="1" applyBorder="1"/>
    <xf numFmtId="0" fontId="3" fillId="0" borderId="0" xfId="0" applyFont="1" applyBorder="1" applyAlignment="1">
      <alignment horizontal="center" vertical="center"/>
    </xf>
    <xf numFmtId="167" fontId="3" fillId="0" borderId="0" xfId="0" applyNumberFormat="1" applyFont="1" applyBorder="1" applyAlignment="1">
      <alignment horizontal="center" vertical="top"/>
    </xf>
    <xf numFmtId="167" fontId="3" fillId="0" borderId="0" xfId="0" applyNumberFormat="1" applyFont="1" applyBorder="1" applyAlignment="1">
      <alignment horizontal="center"/>
    </xf>
    <xf numFmtId="0" fontId="7" fillId="0" borderId="0" xfId="0" applyFont="1" applyBorder="1" applyAlignment="1">
      <alignment horizontal="right" vertical="top"/>
    </xf>
    <xf numFmtId="0" fontId="3" fillId="0" borderId="0" xfId="0" applyFont="1" applyBorder="1" applyAlignment="1">
      <alignment vertical="top"/>
    </xf>
    <xf numFmtId="167" fontId="3" fillId="0" borderId="0" xfId="0" applyNumberFormat="1" applyFont="1" applyBorder="1" applyAlignment="1">
      <alignment horizontal="center" vertical="center"/>
    </xf>
    <xf numFmtId="9" fontId="3" fillId="4" borderId="1" xfId="0" applyNumberFormat="1" applyFont="1" applyFill="1" applyBorder="1" applyAlignment="1">
      <alignment horizontal="left" vertical="center"/>
    </xf>
    <xf numFmtId="3" fontId="3" fillId="4" borderId="1" xfId="0" applyNumberFormat="1" applyFont="1" applyFill="1" applyBorder="1" applyAlignment="1">
      <alignment horizontal="left" vertical="center"/>
    </xf>
    <xf numFmtId="0" fontId="3" fillId="4" borderId="1" xfId="0" applyFont="1" applyFill="1" applyBorder="1" applyAlignment="1">
      <alignment horizontal="left" vertical="center"/>
    </xf>
    <xf numFmtId="4" fontId="3" fillId="4" borderId="1" xfId="0" applyNumberFormat="1" applyFont="1" applyFill="1" applyBorder="1" applyAlignment="1">
      <alignment horizontal="left" vertical="center"/>
    </xf>
    <xf numFmtId="164" fontId="3" fillId="4" borderId="1" xfId="1" applyNumberFormat="1" applyFont="1" applyFill="1" applyBorder="1" applyAlignment="1">
      <alignment horizontal="left" vertical="center"/>
    </xf>
    <xf numFmtId="2" fontId="3" fillId="4" borderId="1" xfId="1" applyNumberFormat="1" applyFont="1" applyFill="1" applyBorder="1" applyAlignment="1">
      <alignment horizontal="left" vertical="center"/>
    </xf>
    <xf numFmtId="0" fontId="4" fillId="4" borderId="1" xfId="0" applyFont="1" applyFill="1" applyBorder="1" applyAlignment="1">
      <alignment horizontal="left" vertical="center" wrapText="1"/>
    </xf>
    <xf numFmtId="164" fontId="4" fillId="4" borderId="1" xfId="1" applyNumberFormat="1" applyFont="1" applyFill="1" applyBorder="1" applyAlignment="1">
      <alignment horizontal="left" vertical="center"/>
    </xf>
    <xf numFmtId="3" fontId="4" fillId="4" borderId="1" xfId="0" applyNumberFormat="1" applyFont="1" applyFill="1" applyBorder="1" applyAlignment="1">
      <alignment horizontal="left" vertical="center" wrapText="1"/>
    </xf>
    <xf numFmtId="164" fontId="4" fillId="4" borderId="1" xfId="1" applyNumberFormat="1" applyFont="1" applyFill="1" applyBorder="1" applyAlignment="1">
      <alignment horizontal="left" vertical="center" wrapText="1"/>
    </xf>
    <xf numFmtId="0" fontId="8" fillId="4" borderId="1" xfId="0" applyFont="1" applyFill="1" applyBorder="1" applyAlignment="1">
      <alignment horizontal="left" vertical="center" wrapText="1"/>
    </xf>
    <xf numFmtId="164" fontId="8" fillId="4" borderId="1" xfId="1" applyNumberFormat="1" applyFont="1" applyFill="1" applyBorder="1" applyAlignment="1">
      <alignment horizontal="left" vertical="center"/>
    </xf>
    <xf numFmtId="3" fontId="8" fillId="4" borderId="1" xfId="0" applyNumberFormat="1" applyFont="1" applyFill="1" applyBorder="1" applyAlignment="1">
      <alignment horizontal="left" vertical="center"/>
    </xf>
    <xf numFmtId="0" fontId="8" fillId="4" borderId="1" xfId="1" applyNumberFormat="1" applyFont="1" applyFill="1" applyBorder="1" applyAlignment="1">
      <alignment horizontal="left" vertical="center" wrapText="1"/>
    </xf>
    <xf numFmtId="0" fontId="4" fillId="4" borderId="26" xfId="0" applyFont="1" applyFill="1" applyBorder="1" applyAlignment="1">
      <alignment horizontal="left" vertical="center"/>
    </xf>
    <xf numFmtId="3" fontId="4" fillId="4" borderId="26" xfId="0" applyNumberFormat="1" applyFont="1" applyFill="1" applyBorder="1" applyAlignment="1">
      <alignment horizontal="left" vertical="center"/>
    </xf>
    <xf numFmtId="164" fontId="4" fillId="4" borderId="26" xfId="1" applyNumberFormat="1" applyFont="1" applyFill="1" applyBorder="1" applyAlignment="1">
      <alignment horizontal="left" vertical="center"/>
    </xf>
    <xf numFmtId="164" fontId="8" fillId="4" borderId="26" xfId="1" applyNumberFormat="1" applyFont="1" applyFill="1" applyBorder="1" applyAlignment="1">
      <alignment horizontal="left" vertical="center"/>
    </xf>
    <xf numFmtId="0" fontId="4" fillId="4" borderId="21" xfId="0" applyFont="1" applyFill="1" applyBorder="1" applyAlignment="1">
      <alignment horizontal="left" vertical="center"/>
    </xf>
    <xf numFmtId="3" fontId="4" fillId="4" borderId="21" xfId="0" applyNumberFormat="1" applyFont="1" applyFill="1" applyBorder="1" applyAlignment="1">
      <alignment horizontal="left" vertical="center"/>
    </xf>
    <xf numFmtId="164" fontId="4" fillId="4" borderId="21" xfId="1" applyNumberFormat="1" applyFont="1" applyFill="1" applyBorder="1" applyAlignment="1">
      <alignment horizontal="left" vertical="center"/>
    </xf>
    <xf numFmtId="164" fontId="8" fillId="4" borderId="21" xfId="1" applyNumberFormat="1" applyFont="1" applyFill="1" applyBorder="1" applyAlignment="1">
      <alignment horizontal="left" vertical="center"/>
    </xf>
    <xf numFmtId="164" fontId="3" fillId="4" borderId="1" xfId="0" applyNumberFormat="1" applyFont="1" applyFill="1" applyBorder="1" applyAlignment="1">
      <alignment horizontal="left" vertical="center"/>
    </xf>
    <xf numFmtId="0" fontId="4" fillId="4" borderId="1" xfId="0" applyFont="1" applyFill="1" applyBorder="1" applyAlignment="1">
      <alignment horizontal="left" vertical="center"/>
    </xf>
    <xf numFmtId="3" fontId="4" fillId="4" borderId="1" xfId="0" applyNumberFormat="1" applyFont="1" applyFill="1" applyBorder="1" applyAlignment="1">
      <alignment horizontal="left" vertical="center"/>
    </xf>
    <xf numFmtId="0" fontId="4" fillId="4" borderId="1" xfId="1" applyNumberFormat="1" applyFont="1" applyFill="1" applyBorder="1" applyAlignment="1">
      <alignment horizontal="left" vertical="center"/>
    </xf>
    <xf numFmtId="1" fontId="4" fillId="4" borderId="1" xfId="0" applyNumberFormat="1" applyFont="1" applyFill="1" applyBorder="1" applyAlignment="1">
      <alignment horizontal="left" vertical="center"/>
    </xf>
    <xf numFmtId="9" fontId="4" fillId="4" borderId="1" xfId="0" applyNumberFormat="1" applyFont="1" applyFill="1" applyBorder="1" applyAlignment="1">
      <alignment horizontal="left" vertical="center"/>
    </xf>
    <xf numFmtId="9" fontId="4" fillId="4" borderId="1" xfId="1" applyNumberFormat="1" applyFont="1" applyFill="1" applyBorder="1" applyAlignment="1">
      <alignment horizontal="left" vertical="center"/>
    </xf>
    <xf numFmtId="0" fontId="4" fillId="4" borderId="18" xfId="0" applyFont="1" applyFill="1" applyBorder="1" applyAlignment="1">
      <alignment horizontal="left" vertical="center"/>
    </xf>
    <xf numFmtId="3" fontId="4" fillId="4" borderId="18" xfId="0" applyNumberFormat="1" applyFont="1" applyFill="1" applyBorder="1" applyAlignment="1">
      <alignment horizontal="left" vertical="center"/>
    </xf>
    <xf numFmtId="164" fontId="4" fillId="4" borderId="18" xfId="1" applyNumberFormat="1" applyFont="1" applyFill="1" applyBorder="1" applyAlignment="1">
      <alignment horizontal="left" vertical="center"/>
    </xf>
    <xf numFmtId="3" fontId="3" fillId="10" borderId="1" xfId="0" applyNumberFormat="1" applyFont="1" applyFill="1" applyBorder="1" applyAlignment="1">
      <alignment horizontal="center" vertical="center"/>
    </xf>
    <xf numFmtId="0" fontId="4" fillId="10" borderId="1" xfId="0" applyFont="1" applyFill="1" applyBorder="1"/>
    <xf numFmtId="3" fontId="4" fillId="0" borderId="1" xfId="0" applyNumberFormat="1" applyFont="1" applyBorder="1" applyAlignment="1">
      <alignment horizontal="center" vertical="center" wrapText="1"/>
    </xf>
    <xf numFmtId="164" fontId="4" fillId="0" borderId="1" xfId="1" applyNumberFormat="1" applyFont="1" applyFill="1" applyBorder="1"/>
    <xf numFmtId="164" fontId="4" fillId="0" borderId="1" xfId="1" applyNumberFormat="1" applyFont="1" applyBorder="1"/>
    <xf numFmtId="9" fontId="3" fillId="11" borderId="1" xfId="0" applyNumberFormat="1" applyFont="1" applyFill="1" applyBorder="1" applyAlignment="1">
      <alignment horizontal="center" vertical="center"/>
    </xf>
    <xf numFmtId="3" fontId="3" fillId="11" borderId="1" xfId="0" applyNumberFormat="1" applyFont="1" applyFill="1" applyBorder="1" applyAlignment="1">
      <alignment horizontal="center" vertical="center"/>
    </xf>
    <xf numFmtId="0" fontId="3" fillId="11" borderId="1" xfId="0" applyFont="1" applyFill="1" applyBorder="1"/>
    <xf numFmtId="3" fontId="4" fillId="0" borderId="18" xfId="0" applyNumberFormat="1" applyFont="1" applyBorder="1" applyAlignment="1">
      <alignment horizontal="center" vertical="center"/>
    </xf>
    <xf numFmtId="0" fontId="4" fillId="0" borderId="18" xfId="0" applyFont="1" applyBorder="1"/>
    <xf numFmtId="0" fontId="3" fillId="4" borderId="21" xfId="0" applyFont="1" applyFill="1" applyBorder="1" applyAlignment="1">
      <alignment horizontal="justify" vertical="center" wrapText="1"/>
    </xf>
    <xf numFmtId="0" fontId="3" fillId="4" borderId="1" xfId="0" applyFont="1" applyFill="1" applyBorder="1" applyAlignment="1">
      <alignment horizontal="center" vertical="center"/>
    </xf>
    <xf numFmtId="0" fontId="3" fillId="4" borderId="1" xfId="0" applyFont="1" applyFill="1" applyBorder="1" applyAlignment="1">
      <alignment horizontal="justify" vertical="center" wrapText="1"/>
    </xf>
    <xf numFmtId="0" fontId="4" fillId="4" borderId="22" xfId="0" applyFont="1" applyFill="1" applyBorder="1"/>
    <xf numFmtId="0" fontId="3" fillId="4" borderId="1" xfId="0" applyFont="1" applyFill="1" applyBorder="1" applyAlignment="1">
      <alignment vertical="center" wrapText="1"/>
    </xf>
    <xf numFmtId="0" fontId="4" fillId="4" borderId="21" xfId="0" applyFont="1" applyFill="1" applyBorder="1" applyAlignment="1">
      <alignment horizontal="justify"/>
    </xf>
    <xf numFmtId="0" fontId="4" fillId="4" borderId="1" xfId="0" applyFont="1" applyFill="1" applyBorder="1" applyAlignment="1">
      <alignment horizontal="justify" vertical="center" wrapText="1"/>
    </xf>
    <xf numFmtId="0" fontId="4" fillId="4" borderId="22" xfId="0" applyFont="1" applyFill="1" applyBorder="1" applyAlignment="1">
      <alignment horizontal="justify"/>
    </xf>
    <xf numFmtId="0" fontId="4" fillId="4" borderId="18" xfId="0" applyFont="1" applyFill="1" applyBorder="1" applyAlignment="1">
      <alignment horizontal="justify" vertical="center" wrapText="1"/>
    </xf>
    <xf numFmtId="0" fontId="4" fillId="4" borderId="18" xfId="0" applyFont="1" applyFill="1" applyBorder="1" applyAlignment="1">
      <alignment horizontal="justify"/>
    </xf>
    <xf numFmtId="0" fontId="3" fillId="4" borderId="18" xfId="0" applyFont="1" applyFill="1" applyBorder="1" applyAlignment="1">
      <alignment horizontal="justify" vertical="center" wrapText="1"/>
    </xf>
    <xf numFmtId="0" fontId="8" fillId="4" borderId="1" xfId="0" applyFont="1" applyFill="1" applyBorder="1" applyAlignment="1">
      <alignment horizontal="center" vertical="center"/>
    </xf>
    <xf numFmtId="0" fontId="8" fillId="4" borderId="1" xfId="0" applyFont="1" applyFill="1" applyBorder="1" applyAlignment="1">
      <alignment horizontal="justify" vertical="center" wrapText="1"/>
    </xf>
    <xf numFmtId="0" fontId="8" fillId="4" borderId="21" xfId="0" applyFont="1" applyFill="1" applyBorder="1" applyAlignment="1">
      <alignment horizontal="justify" vertical="center" wrapText="1"/>
    </xf>
    <xf numFmtId="0" fontId="4" fillId="4" borderId="26" xfId="0" applyFont="1" applyFill="1" applyBorder="1" applyAlignment="1">
      <alignment horizontal="justify" vertical="center" wrapText="1"/>
    </xf>
    <xf numFmtId="0" fontId="4" fillId="4" borderId="21" xfId="0" applyFont="1" applyFill="1" applyBorder="1" applyAlignment="1">
      <alignment horizontal="justify" vertical="center" wrapText="1"/>
    </xf>
    <xf numFmtId="0" fontId="3" fillId="4" borderId="1" xfId="0" applyFont="1" applyFill="1" applyBorder="1" applyAlignment="1">
      <alignment horizontal="justify" wrapText="1"/>
    </xf>
    <xf numFmtId="0" fontId="4" fillId="4" borderId="1" xfId="0" applyFont="1" applyFill="1" applyBorder="1" applyAlignment="1">
      <alignment horizontal="justify" vertical="center"/>
    </xf>
    <xf numFmtId="0" fontId="3" fillId="4" borderId="1" xfId="0" applyFont="1" applyFill="1" applyBorder="1" applyAlignment="1">
      <alignment horizontal="justify" vertical="top"/>
    </xf>
    <xf numFmtId="0" fontId="4" fillId="4" borderId="1" xfId="0" applyFont="1" applyFill="1" applyBorder="1" applyAlignment="1">
      <alignment horizontal="justify"/>
    </xf>
    <xf numFmtId="0" fontId="3" fillId="4" borderId="1" xfId="0" applyFont="1" applyFill="1" applyBorder="1" applyAlignment="1">
      <alignment horizontal="justify" vertical="center"/>
    </xf>
    <xf numFmtId="0" fontId="4" fillId="4" borderId="18" xfId="0" applyFont="1" applyFill="1" applyBorder="1"/>
    <xf numFmtId="0" fontId="4" fillId="4" borderId="21" xfId="0" applyFont="1" applyFill="1" applyBorder="1"/>
    <xf numFmtId="0" fontId="4" fillId="4" borderId="1" xfId="0" applyFont="1" applyFill="1" applyBorder="1"/>
    <xf numFmtId="0" fontId="4" fillId="4" borderId="18" xfId="0" applyFont="1" applyFill="1" applyBorder="1" applyAlignment="1">
      <alignment horizontal="center" vertical="center"/>
    </xf>
    <xf numFmtId="0" fontId="4" fillId="4" borderId="18" xfId="0" applyFont="1" applyFill="1" applyBorder="1" applyAlignment="1">
      <alignment horizontal="justify" vertical="center"/>
    </xf>
  </cellXfs>
  <cellStyles count="10">
    <cellStyle name="Comma" xfId="1" builtinId="3"/>
    <cellStyle name="Comma [0]" xfId="2" builtinId="6"/>
    <cellStyle name="Comma [0] 2" xfId="4"/>
    <cellStyle name="Comma 2" xfId="6"/>
    <cellStyle name="Normal" xfId="0" builtinId="0"/>
    <cellStyle name="Normal 2" xfId="5"/>
    <cellStyle name="Normal 2 2 2" xfId="7"/>
    <cellStyle name="Normal 2 3" xfId="8"/>
    <cellStyle name="Normal 3" xfId="9"/>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419100</xdr:colOff>
      <xdr:row>41</xdr:row>
      <xdr:rowOff>0</xdr:rowOff>
    </xdr:from>
    <xdr:ext cx="0" cy="95250"/>
    <xdr:pic>
      <xdr:nvPicPr>
        <xdr:cNvPr id="2" name="image1.png">
          <a:extLst>
            <a:ext uri="{FF2B5EF4-FFF2-40B4-BE49-F238E27FC236}">
              <a16:creationId xmlns:a16="http://schemas.microsoft.com/office/drawing/2014/main" xmlns="" id="{6BE45253-DB5F-4BE7-9D20-996B8875DA56}"/>
            </a:ext>
          </a:extLst>
        </xdr:cNvPr>
        <xdr:cNvPicPr preferRelativeResize="0"/>
      </xdr:nvPicPr>
      <xdr:blipFill>
        <a:blip xmlns:r="http://schemas.openxmlformats.org/officeDocument/2006/relationships" r:embed="rId1" cstate="print"/>
        <a:stretch>
          <a:fillRect/>
        </a:stretch>
      </xdr:blipFill>
      <xdr:spPr>
        <a:xfrm>
          <a:off x="6753225" y="17773650"/>
          <a:ext cx="0" cy="95250"/>
        </a:xfrm>
        <a:prstGeom prst="rect">
          <a:avLst/>
        </a:prstGeom>
        <a:noFill/>
      </xdr:spPr>
    </xdr:pic>
    <xdr:clientData fLocksWithSheet="0"/>
  </xdr:oneCellAnchor>
  <xdr:oneCellAnchor>
    <xdr:from>
      <xdr:col>5</xdr:col>
      <xdr:colOff>419100</xdr:colOff>
      <xdr:row>41</xdr:row>
      <xdr:rowOff>0</xdr:rowOff>
    </xdr:from>
    <xdr:ext cx="0" cy="95250"/>
    <xdr:pic>
      <xdr:nvPicPr>
        <xdr:cNvPr id="3" name="image2.png">
          <a:extLst>
            <a:ext uri="{FF2B5EF4-FFF2-40B4-BE49-F238E27FC236}">
              <a16:creationId xmlns:a16="http://schemas.microsoft.com/office/drawing/2014/main" xmlns="" id="{976981F8-094C-4EAA-9F29-10367F9D0B57}"/>
            </a:ext>
          </a:extLst>
        </xdr:cNvPr>
        <xdr:cNvPicPr preferRelativeResize="0"/>
      </xdr:nvPicPr>
      <xdr:blipFill>
        <a:blip xmlns:r="http://schemas.openxmlformats.org/officeDocument/2006/relationships" r:embed="rId1" cstate="print"/>
        <a:stretch>
          <a:fillRect/>
        </a:stretch>
      </xdr:blipFill>
      <xdr:spPr>
        <a:xfrm>
          <a:off x="6753225" y="17773650"/>
          <a:ext cx="0" cy="95250"/>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5.%20RANWAL%20RENSTRA%202026-2030%20Biro%20Pem%20Ot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refreshError="1"/>
      <sheetData sheetId="1">
        <row r="9">
          <cell r="I9">
            <v>2029</v>
          </cell>
          <cell r="J9">
            <v>2030</v>
          </cell>
        </row>
        <row r="10">
          <cell r="I10">
            <v>541423065.60000002</v>
          </cell>
          <cell r="J10">
            <v>609100948.80000007</v>
          </cell>
        </row>
        <row r="11">
          <cell r="I11">
            <v>153508160</v>
          </cell>
          <cell r="J11">
            <v>172696680</v>
          </cell>
        </row>
        <row r="12">
          <cell r="I12">
            <v>196518540.79999998</v>
          </cell>
          <cell r="J12">
            <v>221083358.39999998</v>
          </cell>
        </row>
        <row r="13">
          <cell r="I13">
            <v>219299136</v>
          </cell>
          <cell r="J13">
            <v>246711528</v>
          </cell>
        </row>
        <row r="14">
          <cell r="I14">
            <v>142544441.59999999</v>
          </cell>
          <cell r="J14">
            <v>160362496.79999998</v>
          </cell>
        </row>
        <row r="15">
          <cell r="I15">
            <v>493423064</v>
          </cell>
          <cell r="J15">
            <v>555100947</v>
          </cell>
        </row>
        <row r="16">
          <cell r="I16">
            <v>137071830.40000001</v>
          </cell>
          <cell r="J16">
            <v>154205809.20000002</v>
          </cell>
        </row>
        <row r="17">
          <cell r="I17">
            <v>137157356.79999998</v>
          </cell>
          <cell r="J17">
            <v>154302026.39999998</v>
          </cell>
        </row>
        <row r="18">
          <cell r="I18">
            <v>219299139.20000002</v>
          </cell>
          <cell r="J18">
            <v>246711531.60000002</v>
          </cell>
        </row>
        <row r="19">
          <cell r="I19">
            <v>93421464</v>
          </cell>
          <cell r="J19">
            <v>105099147</v>
          </cell>
        </row>
        <row r="20">
          <cell r="I20">
            <v>53904526.399999991</v>
          </cell>
          <cell r="J20">
            <v>60642592.199999988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5:V308"/>
  <sheetViews>
    <sheetView tabSelected="1" zoomScaleNormal="100" workbookViewId="0">
      <pane ySplit="7" topLeftCell="A8" activePane="bottomLeft" state="frozen"/>
      <selection pane="bottomLeft" activeCell="F264" sqref="F264"/>
    </sheetView>
  </sheetViews>
  <sheetFormatPr defaultRowHeight="11.25" x14ac:dyDescent="0.2"/>
  <cols>
    <col min="1" max="1" width="9.140625" style="5"/>
    <col min="2" max="2" width="17" style="5" customWidth="1"/>
    <col min="3" max="3" width="31.140625" style="5" customWidth="1"/>
    <col min="4" max="4" width="14.85546875" style="5" customWidth="1"/>
    <col min="5" max="5" width="41.140625" style="5" customWidth="1"/>
    <col min="6" max="6" width="46.42578125" style="5" customWidth="1"/>
    <col min="7" max="7" width="12.28515625" style="5" customWidth="1"/>
    <col min="8" max="8" width="18.140625" style="5" customWidth="1"/>
    <col min="9" max="9" width="9.42578125" style="5" bestFit="1" customWidth="1"/>
    <col min="10" max="10" width="18.7109375" style="5" customWidth="1"/>
    <col min="11" max="11" width="9.42578125" style="5" bestFit="1" customWidth="1"/>
    <col min="12" max="12" width="16.5703125" style="5" bestFit="1" customWidth="1"/>
    <col min="13" max="13" width="9.42578125" style="5" bestFit="1" customWidth="1"/>
    <col min="14" max="14" width="16.5703125" style="5" bestFit="1" customWidth="1"/>
    <col min="15" max="15" width="9.42578125" style="5" bestFit="1" customWidth="1"/>
    <col min="16" max="16" width="17.140625" style="5" bestFit="1" customWidth="1"/>
    <col min="17" max="17" width="9.42578125" style="5" bestFit="1" customWidth="1"/>
    <col min="18" max="18" width="17.140625" style="5" bestFit="1" customWidth="1"/>
    <col min="19" max="19" width="9.28515625" style="5" bestFit="1" customWidth="1"/>
    <col min="20" max="20" width="17" style="5" bestFit="1" customWidth="1"/>
    <col min="21" max="21" width="16.28515625" style="5" customWidth="1"/>
    <col min="22" max="22" width="13.85546875" style="5" customWidth="1"/>
    <col min="23" max="16384" width="9.140625" style="5"/>
  </cols>
  <sheetData>
    <row r="5" spans="2:22" x14ac:dyDescent="0.2">
      <c r="B5" s="298" t="s">
        <v>0</v>
      </c>
      <c r="C5" s="298" t="s">
        <v>1</v>
      </c>
      <c r="D5" s="298" t="s">
        <v>2</v>
      </c>
      <c r="E5" s="298" t="s">
        <v>3</v>
      </c>
      <c r="F5" s="298" t="s">
        <v>4</v>
      </c>
      <c r="G5" s="298" t="s">
        <v>5</v>
      </c>
      <c r="H5" s="298"/>
      <c r="I5" s="298" t="s">
        <v>6</v>
      </c>
      <c r="J5" s="298"/>
      <c r="K5" s="298"/>
      <c r="L5" s="298"/>
      <c r="M5" s="298"/>
      <c r="N5" s="298"/>
      <c r="O5" s="298"/>
      <c r="P5" s="298"/>
      <c r="Q5" s="298"/>
      <c r="R5" s="298"/>
      <c r="S5" s="298" t="s">
        <v>7</v>
      </c>
      <c r="T5" s="298"/>
      <c r="U5" s="298" t="s">
        <v>8</v>
      </c>
      <c r="V5" s="299" t="s">
        <v>9</v>
      </c>
    </row>
    <row r="6" spans="2:22" x14ac:dyDescent="0.2">
      <c r="B6" s="298"/>
      <c r="C6" s="298"/>
      <c r="D6" s="298"/>
      <c r="E6" s="298"/>
      <c r="F6" s="298"/>
      <c r="G6" s="298"/>
      <c r="H6" s="298"/>
      <c r="I6" s="298" t="s">
        <v>10</v>
      </c>
      <c r="J6" s="298"/>
      <c r="K6" s="298" t="s">
        <v>11</v>
      </c>
      <c r="L6" s="298"/>
      <c r="M6" s="298" t="s">
        <v>12</v>
      </c>
      <c r="N6" s="298"/>
      <c r="O6" s="298" t="s">
        <v>13</v>
      </c>
      <c r="P6" s="298"/>
      <c r="Q6" s="298" t="s">
        <v>14</v>
      </c>
      <c r="R6" s="298"/>
      <c r="S6" s="298"/>
      <c r="T6" s="298"/>
      <c r="U6" s="298"/>
      <c r="V6" s="299"/>
    </row>
    <row r="7" spans="2:22" x14ac:dyDescent="0.2">
      <c r="B7" s="298"/>
      <c r="C7" s="298"/>
      <c r="D7" s="298"/>
      <c r="E7" s="298"/>
      <c r="F7" s="298"/>
      <c r="G7" s="300" t="s">
        <v>15</v>
      </c>
      <c r="H7" s="300" t="s">
        <v>16</v>
      </c>
      <c r="I7" s="300" t="s">
        <v>15</v>
      </c>
      <c r="J7" s="300" t="s">
        <v>17</v>
      </c>
      <c r="K7" s="300" t="s">
        <v>15</v>
      </c>
      <c r="L7" s="301" t="s">
        <v>17</v>
      </c>
      <c r="M7" s="300" t="s">
        <v>15</v>
      </c>
      <c r="N7" s="300" t="s">
        <v>17</v>
      </c>
      <c r="O7" s="300" t="s">
        <v>15</v>
      </c>
      <c r="P7" s="300" t="s">
        <v>17</v>
      </c>
      <c r="Q7" s="300" t="s">
        <v>15</v>
      </c>
      <c r="R7" s="300" t="s">
        <v>17</v>
      </c>
      <c r="S7" s="300" t="s">
        <v>15</v>
      </c>
      <c r="T7" s="300" t="s">
        <v>17</v>
      </c>
      <c r="U7" s="298"/>
      <c r="V7" s="299"/>
    </row>
    <row r="8" spans="2:22" x14ac:dyDescent="0.2">
      <c r="B8" s="300">
        <v>1</v>
      </c>
      <c r="C8" s="300">
        <v>2</v>
      </c>
      <c r="D8" s="300">
        <v>3</v>
      </c>
      <c r="E8" s="300">
        <v>4</v>
      </c>
      <c r="F8" s="300">
        <v>5</v>
      </c>
      <c r="G8" s="300">
        <v>6</v>
      </c>
      <c r="H8" s="300">
        <v>7</v>
      </c>
      <c r="I8" s="300">
        <v>8</v>
      </c>
      <c r="J8" s="300">
        <v>9</v>
      </c>
      <c r="K8" s="300">
        <v>10</v>
      </c>
      <c r="L8" s="300">
        <v>11</v>
      </c>
      <c r="M8" s="300">
        <v>12</v>
      </c>
      <c r="N8" s="300">
        <v>13</v>
      </c>
      <c r="O8" s="300">
        <v>14</v>
      </c>
      <c r="P8" s="300">
        <v>15</v>
      </c>
      <c r="Q8" s="300">
        <v>16</v>
      </c>
      <c r="R8" s="300">
        <v>17</v>
      </c>
      <c r="S8" s="300">
        <v>18</v>
      </c>
      <c r="T8" s="300">
        <v>19</v>
      </c>
      <c r="U8" s="300">
        <v>20</v>
      </c>
      <c r="V8" s="300">
        <v>21</v>
      </c>
    </row>
    <row r="9" spans="2:22" ht="42" customHeight="1" x14ac:dyDescent="0.2">
      <c r="B9" s="248" t="s">
        <v>18</v>
      </c>
      <c r="C9" s="248" t="s">
        <v>19</v>
      </c>
      <c r="D9" s="302">
        <v>4.3750000000000004E-2</v>
      </c>
      <c r="E9" s="81" t="s">
        <v>20</v>
      </c>
      <c r="F9" s="81" t="s">
        <v>21</v>
      </c>
      <c r="G9" s="81"/>
      <c r="H9" s="303">
        <v>1400152959</v>
      </c>
      <c r="I9" s="81"/>
      <c r="J9" s="303">
        <f>SUM(J10+J14+J18)</f>
        <v>1400152959</v>
      </c>
      <c r="K9" s="81"/>
      <c r="L9" s="304">
        <f>SUM(L10+L14+L18)</f>
        <v>1680183551</v>
      </c>
      <c r="M9" s="81"/>
      <c r="N9" s="305">
        <f>SUM(N10+N14+N18)</f>
        <v>2020947624.1999998</v>
      </c>
      <c r="O9" s="81"/>
      <c r="P9" s="305">
        <f>SUM(P10+P14+P18)</f>
        <v>2273565824.5999999</v>
      </c>
      <c r="Q9" s="305"/>
      <c r="R9" s="305">
        <f>SUM(R10+R14+R18)</f>
        <v>0</v>
      </c>
      <c r="S9" s="81"/>
      <c r="T9" s="305">
        <v>2520275326</v>
      </c>
      <c r="U9" s="81" t="s">
        <v>22</v>
      </c>
      <c r="V9" s="306" t="s">
        <v>23</v>
      </c>
    </row>
    <row r="10" spans="2:22" ht="31.5" x14ac:dyDescent="0.2">
      <c r="B10" s="249"/>
      <c r="C10" s="249"/>
      <c r="D10" s="307" t="s">
        <v>24</v>
      </c>
      <c r="E10" s="307" t="s">
        <v>25</v>
      </c>
      <c r="F10" s="307" t="s">
        <v>26</v>
      </c>
      <c r="G10" s="307"/>
      <c r="H10" s="303">
        <v>557156104</v>
      </c>
      <c r="I10" s="340">
        <v>0.70499999999999996</v>
      </c>
      <c r="J10" s="303">
        <f>SUM(J11:J13)</f>
        <v>557156104</v>
      </c>
      <c r="K10" s="341">
        <v>0.76</v>
      </c>
      <c r="L10" s="304">
        <f>SUM(L11:L13)</f>
        <v>668587325</v>
      </c>
      <c r="M10" s="341">
        <v>0.76</v>
      </c>
      <c r="N10" s="305">
        <f>SUM(N11:N13)</f>
        <v>694933254.60000002</v>
      </c>
      <c r="O10" s="341">
        <v>0.82</v>
      </c>
      <c r="P10" s="305">
        <f>SUM(P11:P13)</f>
        <v>781799658.80000007</v>
      </c>
      <c r="Q10" s="341">
        <v>0.82</v>
      </c>
      <c r="R10" s="305">
        <f>SUM(R11:R13)</f>
        <v>0</v>
      </c>
      <c r="S10" s="341">
        <v>0.88</v>
      </c>
      <c r="T10" s="305">
        <v>1002880987</v>
      </c>
      <c r="U10" s="81" t="s">
        <v>22</v>
      </c>
      <c r="V10" s="306" t="s">
        <v>23</v>
      </c>
    </row>
    <row r="11" spans="2:22" ht="22.5" x14ac:dyDescent="0.2">
      <c r="B11" s="249"/>
      <c r="C11" s="249"/>
      <c r="D11" s="88" t="s">
        <v>27</v>
      </c>
      <c r="E11" s="88" t="s">
        <v>28</v>
      </c>
      <c r="F11" s="88" t="s">
        <v>29</v>
      </c>
      <c r="G11" s="88"/>
      <c r="H11" s="308">
        <v>338389416</v>
      </c>
      <c r="I11" s="88" t="s">
        <v>30</v>
      </c>
      <c r="J11" s="308">
        <v>338389416</v>
      </c>
      <c r="K11" s="88" t="s">
        <v>30</v>
      </c>
      <c r="L11" s="309">
        <v>406067299</v>
      </c>
      <c r="M11" s="88" t="s">
        <v>30</v>
      </c>
      <c r="N11" s="310">
        <f>[1]Sheet2!I9</f>
        <v>2029</v>
      </c>
      <c r="O11" s="88" t="s">
        <v>30</v>
      </c>
      <c r="P11" s="310">
        <f>[1]Sheet2!J9</f>
        <v>2030</v>
      </c>
      <c r="Q11" s="88" t="s">
        <v>30</v>
      </c>
      <c r="R11" s="310">
        <f>[1]Sheet2!K9</f>
        <v>0</v>
      </c>
      <c r="S11" s="88" t="s">
        <v>30</v>
      </c>
      <c r="T11" s="310">
        <v>609100949</v>
      </c>
      <c r="U11" s="88" t="s">
        <v>22</v>
      </c>
      <c r="V11" s="306" t="s">
        <v>23</v>
      </c>
    </row>
    <row r="12" spans="2:22" ht="22.5" x14ac:dyDescent="0.2">
      <c r="B12" s="249"/>
      <c r="C12" s="249"/>
      <c r="D12" s="88" t="s">
        <v>31</v>
      </c>
      <c r="E12" s="88" t="s">
        <v>32</v>
      </c>
      <c r="F12" s="88" t="s">
        <v>33</v>
      </c>
      <c r="G12" s="88"/>
      <c r="H12" s="308">
        <v>95942600</v>
      </c>
      <c r="I12" s="88" t="s">
        <v>30</v>
      </c>
      <c r="J12" s="308">
        <v>95942600</v>
      </c>
      <c r="K12" s="88" t="s">
        <v>30</v>
      </c>
      <c r="L12" s="311">
        <v>115131120</v>
      </c>
      <c r="M12" s="88" t="s">
        <v>30</v>
      </c>
      <c r="N12" s="310">
        <f>[1]Sheet2!I10</f>
        <v>541423065.60000002</v>
      </c>
      <c r="O12" s="88" t="s">
        <v>30</v>
      </c>
      <c r="P12" s="310">
        <f>[1]Sheet2!J10</f>
        <v>609100948.80000007</v>
      </c>
      <c r="Q12" s="88" t="s">
        <v>30</v>
      </c>
      <c r="R12" s="310">
        <f>[1]Sheet2!K10</f>
        <v>0</v>
      </c>
      <c r="S12" s="88" t="s">
        <v>30</v>
      </c>
      <c r="T12" s="310">
        <v>172696680</v>
      </c>
      <c r="U12" s="88" t="s">
        <v>22</v>
      </c>
      <c r="V12" s="306" t="s">
        <v>23</v>
      </c>
    </row>
    <row r="13" spans="2:22" ht="22.5" x14ac:dyDescent="0.2">
      <c r="B13" s="249"/>
      <c r="C13" s="249"/>
      <c r="D13" s="88" t="s">
        <v>34</v>
      </c>
      <c r="E13" s="88" t="s">
        <v>35</v>
      </c>
      <c r="F13" s="88" t="s">
        <v>36</v>
      </c>
      <c r="G13" s="88"/>
      <c r="H13" s="308">
        <v>122824088</v>
      </c>
      <c r="I13" s="340">
        <v>0.70499999999999996</v>
      </c>
      <c r="J13" s="308">
        <v>122824088</v>
      </c>
      <c r="K13" s="341">
        <v>0.76</v>
      </c>
      <c r="L13" s="309">
        <v>147388906</v>
      </c>
      <c r="M13" s="341">
        <v>0.76</v>
      </c>
      <c r="N13" s="310">
        <f>[1]Sheet2!I11</f>
        <v>153508160</v>
      </c>
      <c r="O13" s="341">
        <v>0.82</v>
      </c>
      <c r="P13" s="310">
        <f>[1]Sheet2!J11</f>
        <v>172696680</v>
      </c>
      <c r="Q13" s="341">
        <v>0.82</v>
      </c>
      <c r="R13" s="310">
        <f>[1]Sheet2!K11</f>
        <v>0</v>
      </c>
      <c r="S13" s="341">
        <v>0.88</v>
      </c>
      <c r="T13" s="310">
        <v>221083358</v>
      </c>
      <c r="U13" s="88" t="s">
        <v>22</v>
      </c>
      <c r="V13" s="306" t="s">
        <v>23</v>
      </c>
    </row>
    <row r="14" spans="2:22" ht="31.5" x14ac:dyDescent="0.2">
      <c r="B14" s="249"/>
      <c r="C14" s="249"/>
      <c r="D14" s="307" t="s">
        <v>37</v>
      </c>
      <c r="E14" s="307" t="s">
        <v>38</v>
      </c>
      <c r="F14" s="307" t="s">
        <v>39</v>
      </c>
      <c r="G14" s="307"/>
      <c r="H14" s="303">
        <v>534541651</v>
      </c>
      <c r="I14" s="81">
        <v>1</v>
      </c>
      <c r="J14" s="303">
        <v>534541651</v>
      </c>
      <c r="K14" s="81">
        <v>1</v>
      </c>
      <c r="L14" s="304">
        <f>SUM(L15:L17)</f>
        <v>641449981</v>
      </c>
      <c r="M14" s="81">
        <v>1</v>
      </c>
      <c r="N14" s="305">
        <f>SUM(N15:N17)</f>
        <v>558362118.39999998</v>
      </c>
      <c r="O14" s="81">
        <v>1</v>
      </c>
      <c r="P14" s="305">
        <f>SUM(P15:P17)</f>
        <v>628157383.19999993</v>
      </c>
      <c r="Q14" s="305">
        <v>1</v>
      </c>
      <c r="R14" s="305">
        <f>SUM(R15:R17)</f>
        <v>0</v>
      </c>
      <c r="S14" s="81">
        <v>1</v>
      </c>
      <c r="T14" s="305">
        <v>962174972</v>
      </c>
      <c r="U14" s="81" t="s">
        <v>22</v>
      </c>
      <c r="V14" s="306" t="s">
        <v>23</v>
      </c>
    </row>
    <row r="15" spans="2:22" ht="22.5" x14ac:dyDescent="0.2">
      <c r="B15" s="249"/>
      <c r="C15" s="249"/>
      <c r="D15" s="88" t="s">
        <v>40</v>
      </c>
      <c r="E15" s="88" t="s">
        <v>41</v>
      </c>
      <c r="F15" s="88" t="s">
        <v>42</v>
      </c>
      <c r="G15" s="88"/>
      <c r="H15" s="308">
        <v>137061960</v>
      </c>
      <c r="I15" s="312">
        <v>1</v>
      </c>
      <c r="J15" s="308">
        <v>137061960</v>
      </c>
      <c r="K15" s="312">
        <v>1</v>
      </c>
      <c r="L15" s="309">
        <v>164474352</v>
      </c>
      <c r="M15" s="312">
        <v>1</v>
      </c>
      <c r="N15" s="310">
        <f>[1]Sheet2!I12</f>
        <v>196518540.79999998</v>
      </c>
      <c r="O15" s="312">
        <v>1</v>
      </c>
      <c r="P15" s="310">
        <f>[1]Sheet2!J12</f>
        <v>221083358.39999998</v>
      </c>
      <c r="Q15" s="312">
        <v>1</v>
      </c>
      <c r="R15" s="310">
        <f>[1]Sheet2!K12</f>
        <v>0</v>
      </c>
      <c r="S15" s="312">
        <v>1</v>
      </c>
      <c r="T15" s="310">
        <v>246711528</v>
      </c>
      <c r="U15" s="88" t="s">
        <v>22</v>
      </c>
      <c r="V15" s="306" t="s">
        <v>23</v>
      </c>
    </row>
    <row r="16" spans="2:22" ht="22.5" x14ac:dyDescent="0.2">
      <c r="B16" s="249"/>
      <c r="C16" s="249"/>
      <c r="D16" s="88" t="s">
        <v>43</v>
      </c>
      <c r="E16" s="88" t="s">
        <v>44</v>
      </c>
      <c r="F16" s="88" t="s">
        <v>45</v>
      </c>
      <c r="G16" s="88"/>
      <c r="H16" s="308">
        <v>89090276</v>
      </c>
      <c r="I16" s="88" t="s">
        <v>30</v>
      </c>
      <c r="J16" s="308">
        <v>89090276</v>
      </c>
      <c r="K16" s="88" t="s">
        <v>30</v>
      </c>
      <c r="L16" s="309">
        <v>106908331</v>
      </c>
      <c r="M16" s="88" t="s">
        <v>30</v>
      </c>
      <c r="N16" s="310">
        <f>[1]Sheet2!I13</f>
        <v>219299136</v>
      </c>
      <c r="O16" s="88" t="s">
        <v>30</v>
      </c>
      <c r="P16" s="310">
        <f>[1]Sheet2!J13</f>
        <v>246711528</v>
      </c>
      <c r="Q16" s="88" t="s">
        <v>30</v>
      </c>
      <c r="R16" s="310">
        <f>[1]Sheet2!K13</f>
        <v>0</v>
      </c>
      <c r="S16" s="88" t="s">
        <v>30</v>
      </c>
      <c r="T16" s="310">
        <v>160362497</v>
      </c>
      <c r="U16" s="88" t="s">
        <v>22</v>
      </c>
      <c r="V16" s="306" t="s">
        <v>23</v>
      </c>
    </row>
    <row r="17" spans="2:22" ht="22.5" x14ac:dyDescent="0.2">
      <c r="B17" s="249"/>
      <c r="C17" s="249"/>
      <c r="D17" s="88" t="s">
        <v>46</v>
      </c>
      <c r="E17" s="88" t="s">
        <v>47</v>
      </c>
      <c r="F17" s="88" t="s">
        <v>48</v>
      </c>
      <c r="G17" s="88"/>
      <c r="H17" s="308">
        <v>308389415</v>
      </c>
      <c r="I17" s="88" t="s">
        <v>49</v>
      </c>
      <c r="J17" s="308">
        <v>308389415</v>
      </c>
      <c r="K17" s="88" t="s">
        <v>49</v>
      </c>
      <c r="L17" s="309">
        <v>370067298</v>
      </c>
      <c r="M17" s="88" t="s">
        <v>49</v>
      </c>
      <c r="N17" s="310">
        <f>[1]Sheet2!I14</f>
        <v>142544441.59999999</v>
      </c>
      <c r="O17" s="88" t="s">
        <v>49</v>
      </c>
      <c r="P17" s="310">
        <f>[1]Sheet2!J14</f>
        <v>160362496.79999998</v>
      </c>
      <c r="Q17" s="88" t="s">
        <v>49</v>
      </c>
      <c r="R17" s="310">
        <f>[1]Sheet2!K14</f>
        <v>0</v>
      </c>
      <c r="S17" s="88" t="s">
        <v>49</v>
      </c>
      <c r="T17" s="310">
        <v>555100947</v>
      </c>
      <c r="U17" s="88" t="s">
        <v>22</v>
      </c>
      <c r="V17" s="306" t="s">
        <v>23</v>
      </c>
    </row>
    <row r="18" spans="2:22" ht="31.5" x14ac:dyDescent="0.2">
      <c r="B18" s="249"/>
      <c r="C18" s="249"/>
      <c r="D18" s="307" t="s">
        <v>50</v>
      </c>
      <c r="E18" s="307" t="s">
        <v>51</v>
      </c>
      <c r="F18" s="307" t="s">
        <v>52</v>
      </c>
      <c r="G18" s="307"/>
      <c r="H18" s="303">
        <v>308455204</v>
      </c>
      <c r="I18" s="81">
        <v>9</v>
      </c>
      <c r="J18" s="303">
        <v>308455204</v>
      </c>
      <c r="K18" s="81">
        <v>9</v>
      </c>
      <c r="L18" s="304">
        <f>SUM(L19:L21)</f>
        <v>370146245</v>
      </c>
      <c r="M18" s="81">
        <v>9</v>
      </c>
      <c r="N18" s="305">
        <f>SUM(N19:N21)</f>
        <v>767652251.19999993</v>
      </c>
      <c r="O18" s="81">
        <v>9</v>
      </c>
      <c r="P18" s="305">
        <f>SUM(P19:P21)</f>
        <v>863608782.60000002</v>
      </c>
      <c r="Q18" s="305">
        <v>9</v>
      </c>
      <c r="R18" s="305">
        <f>SUM(R19:R21)</f>
        <v>0</v>
      </c>
      <c r="S18" s="81">
        <v>9</v>
      </c>
      <c r="T18" s="305">
        <v>555219367</v>
      </c>
      <c r="U18" s="81" t="s">
        <v>22</v>
      </c>
      <c r="V18" s="306" t="s">
        <v>23</v>
      </c>
    </row>
    <row r="19" spans="2:22" ht="22.5" x14ac:dyDescent="0.2">
      <c r="B19" s="249"/>
      <c r="C19" s="249"/>
      <c r="D19" s="88" t="s">
        <v>53</v>
      </c>
      <c r="E19" s="88" t="s">
        <v>54</v>
      </c>
      <c r="F19" s="88" t="s">
        <v>55</v>
      </c>
      <c r="G19" s="88"/>
      <c r="H19" s="308">
        <v>85669894</v>
      </c>
      <c r="I19" s="88" t="s">
        <v>56</v>
      </c>
      <c r="J19" s="308">
        <v>85669894</v>
      </c>
      <c r="K19" s="88" t="s">
        <v>56</v>
      </c>
      <c r="L19" s="309">
        <v>102803873</v>
      </c>
      <c r="M19" s="88" t="s">
        <v>56</v>
      </c>
      <c r="N19" s="310">
        <f>[1]Sheet2!I15</f>
        <v>493423064</v>
      </c>
      <c r="O19" s="88" t="s">
        <v>56</v>
      </c>
      <c r="P19" s="310">
        <f>[1]Sheet2!J15</f>
        <v>555100947</v>
      </c>
      <c r="Q19" s="88" t="s">
        <v>56</v>
      </c>
      <c r="R19" s="310">
        <f>[1]Sheet2!K15</f>
        <v>0</v>
      </c>
      <c r="S19" s="88" t="s">
        <v>56</v>
      </c>
      <c r="T19" s="310">
        <v>154205809</v>
      </c>
      <c r="U19" s="88" t="s">
        <v>22</v>
      </c>
      <c r="V19" s="306" t="s">
        <v>23</v>
      </c>
    </row>
    <row r="20" spans="2:22" ht="22.5" x14ac:dyDescent="0.2">
      <c r="B20" s="249"/>
      <c r="C20" s="249"/>
      <c r="D20" s="88" t="s">
        <v>57</v>
      </c>
      <c r="E20" s="88" t="s">
        <v>58</v>
      </c>
      <c r="F20" s="88" t="s">
        <v>59</v>
      </c>
      <c r="G20" s="88"/>
      <c r="H20" s="308">
        <v>85723348</v>
      </c>
      <c r="I20" s="88" t="s">
        <v>60</v>
      </c>
      <c r="J20" s="308">
        <v>85723348</v>
      </c>
      <c r="K20" s="88" t="s">
        <v>60</v>
      </c>
      <c r="L20" s="309">
        <v>102868018</v>
      </c>
      <c r="M20" s="88" t="s">
        <v>60</v>
      </c>
      <c r="N20" s="310">
        <f>[1]Sheet2!I16</f>
        <v>137071830.40000001</v>
      </c>
      <c r="O20" s="88" t="s">
        <v>60</v>
      </c>
      <c r="P20" s="310">
        <f>[1]Sheet2!J16</f>
        <v>154205809.20000002</v>
      </c>
      <c r="Q20" s="88" t="s">
        <v>60</v>
      </c>
      <c r="R20" s="310">
        <f>[1]Sheet2!K16</f>
        <v>0</v>
      </c>
      <c r="S20" s="88" t="s">
        <v>60</v>
      </c>
      <c r="T20" s="310">
        <v>154302026</v>
      </c>
      <c r="U20" s="88" t="s">
        <v>22</v>
      </c>
      <c r="V20" s="306" t="s">
        <v>23</v>
      </c>
    </row>
    <row r="21" spans="2:22" ht="22.5" x14ac:dyDescent="0.2">
      <c r="B21" s="249"/>
      <c r="C21" s="250"/>
      <c r="D21" s="88" t="s">
        <v>61</v>
      </c>
      <c r="E21" s="88" t="s">
        <v>62</v>
      </c>
      <c r="F21" s="88" t="s">
        <v>63</v>
      </c>
      <c r="G21" s="88"/>
      <c r="H21" s="308">
        <v>137061962</v>
      </c>
      <c r="I21" s="88" t="s">
        <v>64</v>
      </c>
      <c r="J21" s="308">
        <v>137061962</v>
      </c>
      <c r="K21" s="88" t="s">
        <v>64</v>
      </c>
      <c r="L21" s="309">
        <v>164474354</v>
      </c>
      <c r="M21" s="88" t="s">
        <v>64</v>
      </c>
      <c r="N21" s="310">
        <f>[1]Sheet2!I17</f>
        <v>137157356.79999998</v>
      </c>
      <c r="O21" s="88" t="s">
        <v>64</v>
      </c>
      <c r="P21" s="310">
        <f>[1]Sheet2!J17</f>
        <v>154302026.39999998</v>
      </c>
      <c r="Q21" s="88" t="s">
        <v>64</v>
      </c>
      <c r="R21" s="310">
        <f>[1]Sheet2!K17</f>
        <v>0</v>
      </c>
      <c r="S21" s="88" t="s">
        <v>64</v>
      </c>
      <c r="T21" s="310">
        <v>246711532</v>
      </c>
      <c r="U21" s="88" t="s">
        <v>22</v>
      </c>
      <c r="V21" s="306" t="s">
        <v>23</v>
      </c>
    </row>
    <row r="22" spans="2:22" ht="21" x14ac:dyDescent="0.2">
      <c r="B22" s="249"/>
      <c r="C22" s="81" t="s">
        <v>65</v>
      </c>
      <c r="D22" s="81"/>
      <c r="E22" s="81"/>
      <c r="F22" s="81"/>
      <c r="G22" s="81"/>
      <c r="H22" s="81"/>
      <c r="I22" s="81"/>
      <c r="J22" s="81"/>
      <c r="K22" s="81"/>
      <c r="L22" s="304"/>
      <c r="M22" s="81"/>
      <c r="N22" s="305"/>
      <c r="O22" s="81"/>
      <c r="P22" s="305"/>
      <c r="Q22" s="305"/>
      <c r="R22" s="305"/>
      <c r="S22" s="81"/>
      <c r="T22" s="305"/>
      <c r="U22" s="81"/>
      <c r="V22" s="306" t="s">
        <v>23</v>
      </c>
    </row>
    <row r="23" spans="2:22" ht="31.5" x14ac:dyDescent="0.2">
      <c r="B23" s="249"/>
      <c r="C23" s="81" t="s">
        <v>66</v>
      </c>
      <c r="D23" s="302">
        <v>0.12569444444444444</v>
      </c>
      <c r="E23" s="81" t="s">
        <v>67</v>
      </c>
      <c r="F23" s="81" t="s">
        <v>68</v>
      </c>
      <c r="G23" s="81"/>
      <c r="H23" s="303">
        <v>180216699</v>
      </c>
      <c r="I23" s="81" t="s">
        <v>69</v>
      </c>
      <c r="J23" s="303">
        <v>180216699</v>
      </c>
      <c r="K23" s="81" t="s">
        <v>70</v>
      </c>
      <c r="L23" s="304">
        <f>SUM(L25:L27)</f>
        <v>216260039</v>
      </c>
      <c r="M23" s="81" t="s">
        <v>70</v>
      </c>
      <c r="N23" s="305">
        <f>SUM(N25:N27)</f>
        <v>366625129.60000002</v>
      </c>
      <c r="O23" s="81" t="s">
        <v>70</v>
      </c>
      <c r="P23" s="305">
        <f>SUM(P25:P27)</f>
        <v>412453270.80000001</v>
      </c>
      <c r="Q23" s="305" t="s">
        <v>71</v>
      </c>
      <c r="R23" s="305">
        <f>SUM(R25:R27)</f>
        <v>0</v>
      </c>
      <c r="S23" s="81" t="s">
        <v>71</v>
      </c>
      <c r="T23" s="305">
        <v>324390058</v>
      </c>
      <c r="U23" s="81" t="s">
        <v>22</v>
      </c>
      <c r="V23" s="306" t="s">
        <v>23</v>
      </c>
    </row>
    <row r="24" spans="2:22" ht="31.5" x14ac:dyDescent="0.2">
      <c r="B24" s="249"/>
      <c r="C24" s="248"/>
      <c r="D24" s="307" t="s">
        <v>72</v>
      </c>
      <c r="E24" s="307" t="s">
        <v>73</v>
      </c>
      <c r="F24" s="307" t="s">
        <v>74</v>
      </c>
      <c r="G24" s="307"/>
      <c r="H24" s="303">
        <v>180216699</v>
      </c>
      <c r="I24" s="341">
        <v>1</v>
      </c>
      <c r="J24" s="303">
        <v>180216699</v>
      </c>
      <c r="K24" s="341">
        <v>1</v>
      </c>
      <c r="L24" s="304">
        <f>SUM(L25:L27)</f>
        <v>216260039</v>
      </c>
      <c r="M24" s="341">
        <v>1</v>
      </c>
      <c r="N24" s="305">
        <f>SUM(N25:N27)</f>
        <v>366625129.60000002</v>
      </c>
      <c r="O24" s="341">
        <v>1</v>
      </c>
      <c r="P24" s="305">
        <f>SUM(P25:P27)</f>
        <v>412453270.80000001</v>
      </c>
      <c r="Q24" s="341">
        <v>1</v>
      </c>
      <c r="R24" s="305">
        <f>SUM(R25:R27)</f>
        <v>0</v>
      </c>
      <c r="S24" s="341">
        <v>1</v>
      </c>
      <c r="T24" s="305">
        <v>324390058</v>
      </c>
      <c r="U24" s="81" t="s">
        <v>22</v>
      </c>
      <c r="V24" s="306" t="s">
        <v>23</v>
      </c>
    </row>
    <row r="25" spans="2:22" ht="22.5" x14ac:dyDescent="0.2">
      <c r="B25" s="249"/>
      <c r="C25" s="249"/>
      <c r="D25" s="88" t="s">
        <v>75</v>
      </c>
      <c r="E25" s="88" t="s">
        <v>76</v>
      </c>
      <c r="F25" s="88" t="s">
        <v>77</v>
      </c>
      <c r="G25" s="88"/>
      <c r="H25" s="308">
        <v>58388415</v>
      </c>
      <c r="I25" s="312">
        <v>1</v>
      </c>
      <c r="J25" s="308">
        <v>58388415</v>
      </c>
      <c r="K25" s="312">
        <v>1</v>
      </c>
      <c r="L25" s="309">
        <v>70066098</v>
      </c>
      <c r="M25" s="312">
        <v>1</v>
      </c>
      <c r="N25" s="310">
        <f>[1]Sheet2!I18</f>
        <v>219299139.20000002</v>
      </c>
      <c r="O25" s="312">
        <v>1</v>
      </c>
      <c r="P25" s="310">
        <f>[1]Sheet2!J18</f>
        <v>246711531.60000002</v>
      </c>
      <c r="Q25" s="312">
        <v>1</v>
      </c>
      <c r="R25" s="310">
        <f>[1]Sheet2!K18</f>
        <v>0</v>
      </c>
      <c r="S25" s="312">
        <v>1</v>
      </c>
      <c r="T25" s="310">
        <v>105099147</v>
      </c>
      <c r="U25" s="88" t="s">
        <v>22</v>
      </c>
      <c r="V25" s="306" t="s">
        <v>23</v>
      </c>
    </row>
    <row r="26" spans="2:22" ht="22.5" x14ac:dyDescent="0.2">
      <c r="B26" s="249"/>
      <c r="C26" s="249"/>
      <c r="D26" s="88" t="s">
        <v>78</v>
      </c>
      <c r="E26" s="88" t="s">
        <v>79</v>
      </c>
      <c r="F26" s="88" t="s">
        <v>80</v>
      </c>
      <c r="G26" s="88"/>
      <c r="H26" s="308">
        <v>33690329</v>
      </c>
      <c r="I26" s="88" t="s">
        <v>81</v>
      </c>
      <c r="J26" s="308">
        <v>33690329</v>
      </c>
      <c r="K26" s="88" t="s">
        <v>81</v>
      </c>
      <c r="L26" s="309">
        <v>40428395</v>
      </c>
      <c r="M26" s="88" t="s">
        <v>81</v>
      </c>
      <c r="N26" s="310">
        <f>[1]Sheet2!I19</f>
        <v>93421464</v>
      </c>
      <c r="O26" s="88" t="s">
        <v>81</v>
      </c>
      <c r="P26" s="310">
        <f>[1]Sheet2!J19</f>
        <v>105099147</v>
      </c>
      <c r="Q26" s="88" t="s">
        <v>81</v>
      </c>
      <c r="R26" s="310">
        <f>[1]Sheet2!K19</f>
        <v>0</v>
      </c>
      <c r="S26" s="88" t="s">
        <v>81</v>
      </c>
      <c r="T26" s="310">
        <v>60642592</v>
      </c>
      <c r="U26" s="88" t="s">
        <v>22</v>
      </c>
      <c r="V26" s="306" t="s">
        <v>23</v>
      </c>
    </row>
    <row r="27" spans="2:22" ht="22.5" x14ac:dyDescent="0.2">
      <c r="B27" s="250"/>
      <c r="C27" s="250"/>
      <c r="D27" s="88" t="s">
        <v>82</v>
      </c>
      <c r="E27" s="88" t="s">
        <v>83</v>
      </c>
      <c r="F27" s="88" t="s">
        <v>84</v>
      </c>
      <c r="G27" s="88"/>
      <c r="H27" s="308">
        <v>88137955</v>
      </c>
      <c r="I27" s="88" t="s">
        <v>85</v>
      </c>
      <c r="J27" s="308">
        <v>88137955</v>
      </c>
      <c r="K27" s="88" t="s">
        <v>85</v>
      </c>
      <c r="L27" s="309">
        <v>105765546</v>
      </c>
      <c r="M27" s="88" t="s">
        <v>85</v>
      </c>
      <c r="N27" s="310">
        <f>[1]Sheet2!I20</f>
        <v>53904526.399999991</v>
      </c>
      <c r="O27" s="88" t="s">
        <v>85</v>
      </c>
      <c r="P27" s="310">
        <f>[1]Sheet2!J20</f>
        <v>60642592.199999988</v>
      </c>
      <c r="Q27" s="88" t="s">
        <v>85</v>
      </c>
      <c r="R27" s="310">
        <f>[1]Sheet2!K20</f>
        <v>0</v>
      </c>
      <c r="S27" s="88" t="s">
        <v>85</v>
      </c>
      <c r="T27" s="310">
        <v>158648319</v>
      </c>
      <c r="U27" s="88" t="s">
        <v>22</v>
      </c>
      <c r="V27" s="306" t="s">
        <v>23</v>
      </c>
    </row>
    <row r="28" spans="2:22" x14ac:dyDescent="0.2">
      <c r="B28" s="6"/>
      <c r="C28" s="6"/>
      <c r="D28" s="7"/>
      <c r="E28" s="8"/>
      <c r="F28" s="8"/>
      <c r="G28" s="8"/>
      <c r="H28" s="9"/>
      <c r="I28" s="7"/>
      <c r="J28" s="9"/>
      <c r="K28" s="7"/>
      <c r="L28" s="10"/>
      <c r="M28" s="7"/>
      <c r="N28" s="11"/>
      <c r="O28" s="7"/>
      <c r="P28" s="11"/>
      <c r="Q28" s="7"/>
      <c r="R28" s="12"/>
      <c r="S28" s="7"/>
      <c r="T28" s="12"/>
      <c r="U28" s="8"/>
      <c r="V28" s="13"/>
    </row>
    <row r="29" spans="2:22" ht="99" customHeight="1" x14ac:dyDescent="0.2">
      <c r="B29" s="229" t="s">
        <v>164</v>
      </c>
      <c r="C29" s="225" t="s">
        <v>162</v>
      </c>
      <c r="D29" s="14">
        <v>38078</v>
      </c>
      <c r="E29" s="15" t="s">
        <v>122</v>
      </c>
      <c r="F29" s="15" t="s">
        <v>101</v>
      </c>
      <c r="G29" s="16">
        <v>1</v>
      </c>
      <c r="H29" s="342">
        <f>H30+H33+H37</f>
        <v>81894071504</v>
      </c>
      <c r="I29" s="343">
        <v>1</v>
      </c>
      <c r="J29" s="342">
        <f>J30+J33+J37</f>
        <v>86598975079.199997</v>
      </c>
      <c r="K29" s="343">
        <v>1</v>
      </c>
      <c r="L29" s="342">
        <f>L30+L33+L37</f>
        <v>90928923833.160004</v>
      </c>
      <c r="M29" s="343">
        <v>1</v>
      </c>
      <c r="N29" s="342">
        <f>N30+N33+N37</f>
        <v>95475370024.817993</v>
      </c>
      <c r="O29" s="343">
        <v>1</v>
      </c>
      <c r="P29" s="342">
        <f>P30+P33+P37</f>
        <v>100249138526.0589</v>
      </c>
      <c r="Q29" s="343">
        <v>1</v>
      </c>
      <c r="R29" s="342">
        <f>R30+R33+R37</f>
        <v>105261595452.36185</v>
      </c>
      <c r="S29" s="343">
        <v>1</v>
      </c>
      <c r="T29" s="342">
        <f>T30+T33+T37</f>
        <v>478514002915.59875</v>
      </c>
      <c r="U29" s="15" t="s">
        <v>86</v>
      </c>
      <c r="V29" s="344" t="s">
        <v>87</v>
      </c>
    </row>
    <row r="30" spans="2:22" ht="55.5" customHeight="1" x14ac:dyDescent="0.2">
      <c r="B30" s="230"/>
      <c r="C30" s="226"/>
      <c r="D30" s="17" t="s">
        <v>141</v>
      </c>
      <c r="E30" s="17" t="s">
        <v>123</v>
      </c>
      <c r="F30" s="17" t="s">
        <v>102</v>
      </c>
      <c r="G30" s="18">
        <v>1</v>
      </c>
      <c r="H30" s="345">
        <f>H31+H32</f>
        <v>72648071504</v>
      </c>
      <c r="I30" s="346">
        <v>1</v>
      </c>
      <c r="J30" s="345">
        <f>J31+J32</f>
        <v>76280475079.199997</v>
      </c>
      <c r="K30" s="347">
        <v>1</v>
      </c>
      <c r="L30" s="348">
        <f>L31+L32</f>
        <v>80094498833.160004</v>
      </c>
      <c r="M30" s="347">
        <v>1</v>
      </c>
      <c r="N30" s="348">
        <f>N31+N32</f>
        <v>84099223774.817993</v>
      </c>
      <c r="O30" s="347">
        <v>1</v>
      </c>
      <c r="P30" s="348">
        <f>P31+P32</f>
        <v>88304184963.558899</v>
      </c>
      <c r="Q30" s="347">
        <v>1</v>
      </c>
      <c r="R30" s="348">
        <f>R31+R32</f>
        <v>92719394211.736847</v>
      </c>
      <c r="S30" s="347">
        <v>1</v>
      </c>
      <c r="T30" s="348">
        <f>T31+T32</f>
        <v>421497776862.47375</v>
      </c>
      <c r="U30" s="17" t="s">
        <v>86</v>
      </c>
      <c r="V30" s="349" t="s">
        <v>87</v>
      </c>
    </row>
    <row r="31" spans="2:22" ht="51" customHeight="1" x14ac:dyDescent="0.2">
      <c r="B31" s="20"/>
      <c r="C31" s="21"/>
      <c r="D31" s="22" t="s">
        <v>142</v>
      </c>
      <c r="E31" s="22" t="s">
        <v>124</v>
      </c>
      <c r="F31" s="22" t="s">
        <v>103</v>
      </c>
      <c r="G31" s="23" t="s">
        <v>88</v>
      </c>
      <c r="H31" s="350">
        <v>32485999584</v>
      </c>
      <c r="I31" s="32" t="s">
        <v>88</v>
      </c>
      <c r="J31" s="350">
        <f>(H31*5%)+H31</f>
        <v>34110299563.200001</v>
      </c>
      <c r="K31" s="351" t="s">
        <v>88</v>
      </c>
      <c r="L31" s="352">
        <f>(J31*5%)+J31</f>
        <v>35815814541.360001</v>
      </c>
      <c r="M31" s="22" t="s">
        <v>88</v>
      </c>
      <c r="N31" s="353">
        <f>(L31*5%)+L31</f>
        <v>37606605268.428001</v>
      </c>
      <c r="O31" s="22" t="s">
        <v>88</v>
      </c>
      <c r="P31" s="353">
        <f>(N31*5%)+N31</f>
        <v>39486935531.849403</v>
      </c>
      <c r="Q31" s="22" t="s">
        <v>88</v>
      </c>
      <c r="R31" s="353">
        <f>(P31*5%)+P31</f>
        <v>41461282308.441872</v>
      </c>
      <c r="S31" s="22" t="s">
        <v>88</v>
      </c>
      <c r="T31" s="354">
        <f>J31+L31+N31+P31+R31</f>
        <v>188480937213.27927</v>
      </c>
      <c r="U31" s="22" t="s">
        <v>86</v>
      </c>
      <c r="V31" s="351" t="s">
        <v>87</v>
      </c>
    </row>
    <row r="32" spans="2:22" ht="59.25" customHeight="1" x14ac:dyDescent="0.2">
      <c r="B32" s="20"/>
      <c r="C32" s="21"/>
      <c r="D32" s="22" t="s">
        <v>143</v>
      </c>
      <c r="E32" s="22" t="s">
        <v>125</v>
      </c>
      <c r="F32" s="22" t="s">
        <v>104</v>
      </c>
      <c r="G32" s="23" t="s">
        <v>89</v>
      </c>
      <c r="H32" s="350">
        <v>40162071920</v>
      </c>
      <c r="I32" s="32" t="s">
        <v>89</v>
      </c>
      <c r="J32" s="350">
        <f>(H32*5%)+H32</f>
        <v>42170175516</v>
      </c>
      <c r="K32" s="351" t="s">
        <v>89</v>
      </c>
      <c r="L32" s="352">
        <f>(J32*5%)+J32</f>
        <v>44278684291.800003</v>
      </c>
      <c r="M32" s="22" t="s">
        <v>89</v>
      </c>
      <c r="N32" s="353">
        <f>(L32*5%)+L32</f>
        <v>46492618506.389999</v>
      </c>
      <c r="O32" s="22" t="s">
        <v>89</v>
      </c>
      <c r="P32" s="353">
        <f>(N32*5%)+N32</f>
        <v>48817249431.709503</v>
      </c>
      <c r="Q32" s="22" t="s">
        <v>89</v>
      </c>
      <c r="R32" s="353">
        <f>(P32*5%)+P32</f>
        <v>51258111903.294975</v>
      </c>
      <c r="S32" s="22" t="s">
        <v>89</v>
      </c>
      <c r="T32" s="354">
        <f>J32+L32+N32+P32+R32</f>
        <v>233016839649.19449</v>
      </c>
      <c r="U32" s="22" t="s">
        <v>86</v>
      </c>
      <c r="V32" s="351" t="s">
        <v>87</v>
      </c>
    </row>
    <row r="33" spans="2:22" ht="77.25" customHeight="1" x14ac:dyDescent="0.2">
      <c r="B33" s="20"/>
      <c r="C33" s="21"/>
      <c r="D33" s="26" t="s">
        <v>144</v>
      </c>
      <c r="E33" s="17" t="s">
        <v>126</v>
      </c>
      <c r="F33" s="17" t="s">
        <v>105</v>
      </c>
      <c r="G33" s="27">
        <v>1</v>
      </c>
      <c r="H33" s="355">
        <f>SUM(H34:H36)</f>
        <v>8680000000</v>
      </c>
      <c r="I33" s="356">
        <v>1</v>
      </c>
      <c r="J33" s="355">
        <f>SUM(J34:J36)</f>
        <v>9602500000</v>
      </c>
      <c r="K33" s="357">
        <v>1</v>
      </c>
      <c r="L33" s="348">
        <f>SUM(L34:L36)</f>
        <v>10082625000</v>
      </c>
      <c r="M33" s="347">
        <v>1</v>
      </c>
      <c r="N33" s="348">
        <f>SUM(N34:N36)</f>
        <v>10586756250</v>
      </c>
      <c r="O33" s="347">
        <v>1</v>
      </c>
      <c r="P33" s="348">
        <f>SUM(P34:P36)</f>
        <v>11116094062.5</v>
      </c>
      <c r="Q33" s="347">
        <v>1</v>
      </c>
      <c r="R33" s="348">
        <f>SUM(R34:R36)</f>
        <v>11671898765.625</v>
      </c>
      <c r="S33" s="347">
        <v>1</v>
      </c>
      <c r="T33" s="348">
        <f>SUM(T34:T36)</f>
        <v>53059874078.125</v>
      </c>
      <c r="U33" s="17" t="s">
        <v>86</v>
      </c>
      <c r="V33" s="349" t="s">
        <v>87</v>
      </c>
    </row>
    <row r="34" spans="2:22" ht="66.75" customHeight="1" x14ac:dyDescent="0.2">
      <c r="B34" s="20"/>
      <c r="C34" s="21"/>
      <c r="D34" s="28" t="s">
        <v>145</v>
      </c>
      <c r="E34" s="28" t="s">
        <v>127</v>
      </c>
      <c r="F34" s="28" t="s">
        <v>106</v>
      </c>
      <c r="G34" s="29" t="s">
        <v>90</v>
      </c>
      <c r="H34" s="350">
        <v>8250000000</v>
      </c>
      <c r="I34" s="32" t="s">
        <v>90</v>
      </c>
      <c r="J34" s="350">
        <f>(8225000000*10%)+H34</f>
        <v>9072500000</v>
      </c>
      <c r="K34" s="358" t="s">
        <v>90</v>
      </c>
      <c r="L34" s="359">
        <f>(J34*5%)+J34</f>
        <v>9526125000</v>
      </c>
      <c r="M34" s="28" t="s">
        <v>90</v>
      </c>
      <c r="N34" s="360">
        <f>(L34*5%)+L34</f>
        <v>10002431250</v>
      </c>
      <c r="O34" s="28" t="s">
        <v>90</v>
      </c>
      <c r="P34" s="360">
        <f>(N34*5%)+N34</f>
        <v>10502552812.5</v>
      </c>
      <c r="Q34" s="28" t="s">
        <v>90</v>
      </c>
      <c r="R34" s="360">
        <f>(P34*5%)+P34</f>
        <v>11027680453.125</v>
      </c>
      <c r="S34" s="28" t="s">
        <v>91</v>
      </c>
      <c r="T34" s="361">
        <f>J34+L34+N34+P34+R34</f>
        <v>50131289515.625</v>
      </c>
      <c r="U34" s="28" t="s">
        <v>86</v>
      </c>
      <c r="V34" s="358" t="s">
        <v>87</v>
      </c>
    </row>
    <row r="35" spans="2:22" ht="105.75" customHeight="1" x14ac:dyDescent="0.2">
      <c r="B35" s="20"/>
      <c r="C35" s="31"/>
      <c r="D35" s="32" t="s">
        <v>146</v>
      </c>
      <c r="E35" s="32" t="s">
        <v>128</v>
      </c>
      <c r="F35" s="32" t="s">
        <v>107</v>
      </c>
      <c r="G35" s="24" t="s">
        <v>90</v>
      </c>
      <c r="H35" s="362">
        <f>225000000</f>
        <v>225000000</v>
      </c>
      <c r="I35" s="363" t="s">
        <v>90</v>
      </c>
      <c r="J35" s="362">
        <f>225000000+50000000</f>
        <v>275000000</v>
      </c>
      <c r="K35" s="32" t="s">
        <v>90</v>
      </c>
      <c r="L35" s="364">
        <f t="shared" ref="L35:L36" si="0">(J35*5%)+J35</f>
        <v>288750000</v>
      </c>
      <c r="M35" s="32" t="s">
        <v>90</v>
      </c>
      <c r="N35" s="365">
        <f t="shared" ref="N35:N40" si="1">(L35*5%)+L35</f>
        <v>303187500</v>
      </c>
      <c r="O35" s="32" t="s">
        <v>90</v>
      </c>
      <c r="P35" s="365">
        <f t="shared" ref="P35:R40" si="2">(N35*5%)+N35</f>
        <v>318346875</v>
      </c>
      <c r="Q35" s="32" t="s">
        <v>90</v>
      </c>
      <c r="R35" s="365">
        <f t="shared" ref="R35:R36" si="3">(P35*5%)+P35</f>
        <v>334264218.75</v>
      </c>
      <c r="S35" s="32" t="s">
        <v>91</v>
      </c>
      <c r="T35" s="366">
        <f>J35+L35+N35+P35+R35</f>
        <v>1519548593.75</v>
      </c>
      <c r="U35" s="32" t="s">
        <v>86</v>
      </c>
      <c r="V35" s="32" t="s">
        <v>87</v>
      </c>
    </row>
    <row r="36" spans="2:22" ht="100.5" customHeight="1" x14ac:dyDescent="0.2">
      <c r="B36" s="20"/>
      <c r="C36" s="31"/>
      <c r="D36" s="32" t="s">
        <v>147</v>
      </c>
      <c r="E36" s="32" t="s">
        <v>129</v>
      </c>
      <c r="F36" s="32" t="s">
        <v>108</v>
      </c>
      <c r="G36" s="24" t="s">
        <v>90</v>
      </c>
      <c r="H36" s="350">
        <f>205000000</f>
        <v>205000000</v>
      </c>
      <c r="I36" s="32" t="s">
        <v>90</v>
      </c>
      <c r="J36" s="350">
        <f>205000000+50000000</f>
        <v>255000000</v>
      </c>
      <c r="K36" s="32" t="s">
        <v>90</v>
      </c>
      <c r="L36" s="364">
        <f t="shared" si="0"/>
        <v>267750000</v>
      </c>
      <c r="M36" s="32" t="s">
        <v>90</v>
      </c>
      <c r="N36" s="365">
        <f t="shared" si="1"/>
        <v>281137500</v>
      </c>
      <c r="O36" s="32" t="s">
        <v>90</v>
      </c>
      <c r="P36" s="365">
        <f t="shared" si="2"/>
        <v>295194375</v>
      </c>
      <c r="Q36" s="32" t="s">
        <v>90</v>
      </c>
      <c r="R36" s="365">
        <f t="shared" si="3"/>
        <v>309954093.75</v>
      </c>
      <c r="S36" s="32" t="s">
        <v>91</v>
      </c>
      <c r="T36" s="366">
        <f>J36+L36+N36+P36+R36</f>
        <v>1409035968.75</v>
      </c>
      <c r="U36" s="32" t="s">
        <v>86</v>
      </c>
      <c r="V36" s="32" t="s">
        <v>87</v>
      </c>
    </row>
    <row r="37" spans="2:22" ht="99" customHeight="1" x14ac:dyDescent="0.2">
      <c r="B37" s="20"/>
      <c r="C37" s="21"/>
      <c r="D37" s="26" t="s">
        <v>148</v>
      </c>
      <c r="E37" s="26" t="s">
        <v>130</v>
      </c>
      <c r="F37" s="26" t="s">
        <v>109</v>
      </c>
      <c r="G37" s="33">
        <v>1</v>
      </c>
      <c r="H37" s="367">
        <f>SUM(H38:H40)</f>
        <v>566000000</v>
      </c>
      <c r="I37" s="368">
        <v>1</v>
      </c>
      <c r="J37" s="367">
        <f>SUM(J38:J40)</f>
        <v>716000000</v>
      </c>
      <c r="K37" s="368">
        <v>1</v>
      </c>
      <c r="L37" s="367">
        <f>SUM(L38:L40)</f>
        <v>751800000</v>
      </c>
      <c r="M37" s="368">
        <v>1</v>
      </c>
      <c r="N37" s="367">
        <f>SUM(N38:N40)</f>
        <v>789390000</v>
      </c>
      <c r="O37" s="368">
        <v>1</v>
      </c>
      <c r="P37" s="367">
        <f>SUM(P38:P40)</f>
        <v>828859500</v>
      </c>
      <c r="Q37" s="368">
        <v>1</v>
      </c>
      <c r="R37" s="367">
        <f>SUM(R38:R40)</f>
        <v>870302475</v>
      </c>
      <c r="S37" s="368">
        <v>1</v>
      </c>
      <c r="T37" s="367">
        <f>SUM(T38:T40)</f>
        <v>3956351975</v>
      </c>
      <c r="U37" s="26" t="s">
        <v>86</v>
      </c>
      <c r="V37" s="369" t="s">
        <v>87</v>
      </c>
    </row>
    <row r="38" spans="2:22" ht="72.75" customHeight="1" x14ac:dyDescent="0.2">
      <c r="B38" s="20"/>
      <c r="C38" s="21"/>
      <c r="D38" s="28" t="s">
        <v>149</v>
      </c>
      <c r="E38" s="28" t="s">
        <v>131</v>
      </c>
      <c r="F38" s="28" t="s">
        <v>110</v>
      </c>
      <c r="G38" s="30" t="s">
        <v>90</v>
      </c>
      <c r="H38" s="370">
        <f>189000000</f>
        <v>189000000</v>
      </c>
      <c r="I38" s="28" t="s">
        <v>90</v>
      </c>
      <c r="J38" s="370">
        <f>189000000+50000000</f>
        <v>239000000</v>
      </c>
      <c r="K38" s="28" t="s">
        <v>90</v>
      </c>
      <c r="L38" s="359">
        <f>(J38*5%)+J38</f>
        <v>250950000</v>
      </c>
      <c r="M38" s="28" t="s">
        <v>90</v>
      </c>
      <c r="N38" s="360">
        <f t="shared" si="1"/>
        <v>263497500</v>
      </c>
      <c r="O38" s="28" t="s">
        <v>90</v>
      </c>
      <c r="P38" s="360">
        <f t="shared" si="2"/>
        <v>276672375</v>
      </c>
      <c r="Q38" s="28" t="s">
        <v>90</v>
      </c>
      <c r="R38" s="360">
        <f t="shared" si="2"/>
        <v>290505993.75</v>
      </c>
      <c r="S38" s="28" t="s">
        <v>91</v>
      </c>
      <c r="T38" s="361">
        <f>J38+L38+N38+P38+R38</f>
        <v>1320625868.75</v>
      </c>
      <c r="U38" s="28"/>
      <c r="V38" s="358"/>
    </row>
    <row r="39" spans="2:22" ht="90.75" customHeight="1" x14ac:dyDescent="0.2">
      <c r="B39" s="20"/>
      <c r="C39" s="31"/>
      <c r="D39" s="32" t="s">
        <v>150</v>
      </c>
      <c r="E39" s="32" t="s">
        <v>132</v>
      </c>
      <c r="F39" s="32" t="s">
        <v>111</v>
      </c>
      <c r="G39" s="24" t="s">
        <v>90</v>
      </c>
      <c r="H39" s="350">
        <f>190000000</f>
        <v>190000000</v>
      </c>
      <c r="I39" s="32" t="s">
        <v>90</v>
      </c>
      <c r="J39" s="350">
        <f>190000000+50000000</f>
        <v>240000000</v>
      </c>
      <c r="K39" s="32" t="s">
        <v>90</v>
      </c>
      <c r="L39" s="364">
        <f t="shared" ref="L39" si="4">(J39*5%)+J39</f>
        <v>252000000</v>
      </c>
      <c r="M39" s="32" t="s">
        <v>90</v>
      </c>
      <c r="N39" s="365">
        <f t="shared" si="1"/>
        <v>264600000</v>
      </c>
      <c r="O39" s="32" t="s">
        <v>90</v>
      </c>
      <c r="P39" s="365">
        <f t="shared" si="2"/>
        <v>277830000</v>
      </c>
      <c r="Q39" s="32" t="s">
        <v>90</v>
      </c>
      <c r="R39" s="365">
        <f t="shared" si="2"/>
        <v>291721500</v>
      </c>
      <c r="S39" s="32" t="s">
        <v>91</v>
      </c>
      <c r="T39" s="366">
        <f>J39+L39+N39+P39+R39</f>
        <v>1326151500</v>
      </c>
      <c r="U39" s="32" t="s">
        <v>86</v>
      </c>
      <c r="V39" s="32" t="s">
        <v>87</v>
      </c>
    </row>
    <row r="40" spans="2:22" ht="107.25" customHeight="1" x14ac:dyDescent="0.2">
      <c r="B40" s="34"/>
      <c r="C40" s="35"/>
      <c r="D40" s="32" t="s">
        <v>151</v>
      </c>
      <c r="E40" s="32" t="s">
        <v>133</v>
      </c>
      <c r="F40" s="32" t="s">
        <v>112</v>
      </c>
      <c r="G40" s="24" t="s">
        <v>90</v>
      </c>
      <c r="H40" s="350">
        <f>187000000</f>
        <v>187000000</v>
      </c>
      <c r="I40" s="32" t="s">
        <v>90</v>
      </c>
      <c r="J40" s="350">
        <f>187000000+50000000</f>
        <v>237000000</v>
      </c>
      <c r="K40" s="32" t="s">
        <v>90</v>
      </c>
      <c r="L40" s="364">
        <f>(J40*5%)+J40</f>
        <v>248850000</v>
      </c>
      <c r="M40" s="32" t="s">
        <v>90</v>
      </c>
      <c r="N40" s="365">
        <f t="shared" si="1"/>
        <v>261292500</v>
      </c>
      <c r="O40" s="32" t="s">
        <v>90</v>
      </c>
      <c r="P40" s="365">
        <f t="shared" si="2"/>
        <v>274357125</v>
      </c>
      <c r="Q40" s="32" t="s">
        <v>90</v>
      </c>
      <c r="R40" s="365">
        <f t="shared" si="2"/>
        <v>288074981.25</v>
      </c>
      <c r="S40" s="32" t="s">
        <v>91</v>
      </c>
      <c r="T40" s="366">
        <f>J40+L40+N40+P40+R40</f>
        <v>1309574606.25</v>
      </c>
      <c r="U40" s="32" t="s">
        <v>86</v>
      </c>
      <c r="V40" s="32" t="s">
        <v>87</v>
      </c>
    </row>
    <row r="41" spans="2:22" ht="55.5" customHeight="1" x14ac:dyDescent="0.2">
      <c r="B41" s="36" t="s">
        <v>165</v>
      </c>
      <c r="C41" s="227" t="s">
        <v>163</v>
      </c>
      <c r="D41" s="37" t="s">
        <v>152</v>
      </c>
      <c r="E41" s="38" t="s">
        <v>134</v>
      </c>
      <c r="F41" s="38" t="s">
        <v>113</v>
      </c>
      <c r="G41" s="39" t="s">
        <v>92</v>
      </c>
      <c r="H41" s="371">
        <f>H42+H48</f>
        <v>1162768300</v>
      </c>
      <c r="I41" s="38" t="s">
        <v>92</v>
      </c>
      <c r="J41" s="371">
        <f>J42+J48</f>
        <v>1198321950</v>
      </c>
      <c r="K41" s="38" t="s">
        <v>92</v>
      </c>
      <c r="L41" s="371">
        <f>L42+L48</f>
        <v>1258238047.5</v>
      </c>
      <c r="M41" s="38" t="s">
        <v>92</v>
      </c>
      <c r="N41" s="371">
        <f>N42+N48</f>
        <v>1321149949.875</v>
      </c>
      <c r="O41" s="38" t="s">
        <v>92</v>
      </c>
      <c r="P41" s="371">
        <f>P42+P48</f>
        <v>1387207447.3687501</v>
      </c>
      <c r="Q41" s="38" t="s">
        <v>92</v>
      </c>
      <c r="R41" s="371">
        <f>R42+R48</f>
        <v>1456567819.7371874</v>
      </c>
      <c r="S41" s="38" t="s">
        <v>92</v>
      </c>
      <c r="T41" s="371">
        <f>T42+T48</f>
        <v>6621485214.480938</v>
      </c>
      <c r="U41" s="38" t="s">
        <v>86</v>
      </c>
      <c r="V41" s="38" t="s">
        <v>87</v>
      </c>
    </row>
    <row r="42" spans="2:22" ht="54" customHeight="1" x14ac:dyDescent="0.2">
      <c r="B42" s="40"/>
      <c r="C42" s="228"/>
      <c r="D42" s="41" t="s">
        <v>153</v>
      </c>
      <c r="E42" s="42" t="s">
        <v>135</v>
      </c>
      <c r="F42" s="42" t="s">
        <v>114</v>
      </c>
      <c r="G42" s="43">
        <v>75</v>
      </c>
      <c r="H42" s="372">
        <f>SUM(H43:H47)</f>
        <v>135000000</v>
      </c>
      <c r="I42" s="373">
        <v>75</v>
      </c>
      <c r="J42" s="372">
        <f>SUM(J43:J47)</f>
        <v>140750000</v>
      </c>
      <c r="K42" s="373">
        <v>75</v>
      </c>
      <c r="L42" s="372">
        <f>SUM(L43:L47)</f>
        <v>147787500</v>
      </c>
      <c r="M42" s="373">
        <v>75</v>
      </c>
      <c r="N42" s="372">
        <f>SUM(N43:N47)</f>
        <v>155176875</v>
      </c>
      <c r="O42" s="373">
        <v>75</v>
      </c>
      <c r="P42" s="372">
        <f>SUM(P43:P47)</f>
        <v>162935718.75</v>
      </c>
      <c r="Q42" s="373">
        <v>75</v>
      </c>
      <c r="R42" s="372">
        <f>SUM(R43:R47)</f>
        <v>171082504.6875</v>
      </c>
      <c r="S42" s="373">
        <v>75</v>
      </c>
      <c r="T42" s="372">
        <f>SUM(T43:T47)</f>
        <v>777732598.4375</v>
      </c>
      <c r="U42" s="42" t="s">
        <v>86</v>
      </c>
      <c r="V42" s="42" t="s">
        <v>87</v>
      </c>
    </row>
    <row r="43" spans="2:22" ht="39.75" customHeight="1" x14ac:dyDescent="0.2">
      <c r="B43" s="20"/>
      <c r="C43" s="226"/>
      <c r="D43" s="44" t="s">
        <v>154</v>
      </c>
      <c r="E43" s="45" t="s">
        <v>136</v>
      </c>
      <c r="F43" s="45" t="s">
        <v>115</v>
      </c>
      <c r="G43" s="46" t="s">
        <v>90</v>
      </c>
      <c r="H43" s="374">
        <v>55000000</v>
      </c>
      <c r="I43" s="375" t="s">
        <v>90</v>
      </c>
      <c r="J43" s="374">
        <f>(55000000*5%)+H43</f>
        <v>57750000</v>
      </c>
      <c r="K43" s="375" t="s">
        <v>90</v>
      </c>
      <c r="L43" s="376">
        <f>(J43*5%)+J43</f>
        <v>60637500</v>
      </c>
      <c r="M43" s="375" t="s">
        <v>90</v>
      </c>
      <c r="N43" s="377">
        <f t="shared" ref="N43:N51" si="5">(L43*5%)+L43</f>
        <v>63669375</v>
      </c>
      <c r="O43" s="375" t="s">
        <v>90</v>
      </c>
      <c r="P43" s="377">
        <f t="shared" ref="P43:P51" si="6">(N43*5%)+N43</f>
        <v>66852843.75</v>
      </c>
      <c r="Q43" s="375" t="s">
        <v>90</v>
      </c>
      <c r="R43" s="377">
        <f t="shared" ref="R43:R47" si="7">(P43*5%)+P43</f>
        <v>70195485.9375</v>
      </c>
      <c r="S43" s="375" t="s">
        <v>91</v>
      </c>
      <c r="T43" s="378">
        <f>J43+L43+N43+P43+R43</f>
        <v>319105204.6875</v>
      </c>
      <c r="U43" s="45" t="s">
        <v>86</v>
      </c>
      <c r="V43" s="379" t="s">
        <v>87</v>
      </c>
    </row>
    <row r="44" spans="2:22" ht="48" customHeight="1" x14ac:dyDescent="0.2">
      <c r="B44" s="20"/>
      <c r="C44" s="21"/>
      <c r="D44" s="47" t="s">
        <v>155</v>
      </c>
      <c r="E44" s="22" t="s">
        <v>137</v>
      </c>
      <c r="F44" s="22" t="s">
        <v>116</v>
      </c>
      <c r="G44" s="48" t="s">
        <v>90</v>
      </c>
      <c r="H44" s="380">
        <v>15000000</v>
      </c>
      <c r="I44" s="381" t="s">
        <v>90</v>
      </c>
      <c r="J44" s="380">
        <f>(15000000*5%)+H44</f>
        <v>15750000</v>
      </c>
      <c r="K44" s="381" t="s">
        <v>90</v>
      </c>
      <c r="L44" s="382">
        <f t="shared" ref="L44:L47" si="8">(J44*5%)+J44</f>
        <v>16537500</v>
      </c>
      <c r="M44" s="381" t="s">
        <v>90</v>
      </c>
      <c r="N44" s="353">
        <f t="shared" si="5"/>
        <v>17364375</v>
      </c>
      <c r="O44" s="381" t="s">
        <v>90</v>
      </c>
      <c r="P44" s="353">
        <f t="shared" si="6"/>
        <v>18232593.75</v>
      </c>
      <c r="Q44" s="381" t="s">
        <v>90</v>
      </c>
      <c r="R44" s="353">
        <f t="shared" si="7"/>
        <v>19144223.4375</v>
      </c>
      <c r="S44" s="381" t="s">
        <v>91</v>
      </c>
      <c r="T44" s="354">
        <f>J44+L44+N44+P44+R44</f>
        <v>87028692.1875</v>
      </c>
      <c r="U44" s="22" t="s">
        <v>86</v>
      </c>
      <c r="V44" s="351" t="s">
        <v>87</v>
      </c>
    </row>
    <row r="45" spans="2:22" ht="48.75" customHeight="1" x14ac:dyDescent="0.2">
      <c r="B45" s="20"/>
      <c r="C45" s="21"/>
      <c r="D45" s="47" t="s">
        <v>156</v>
      </c>
      <c r="E45" s="22" t="s">
        <v>138</v>
      </c>
      <c r="F45" s="22" t="s">
        <v>117</v>
      </c>
      <c r="G45" s="48" t="s">
        <v>90</v>
      </c>
      <c r="H45" s="380">
        <v>15000000</v>
      </c>
      <c r="I45" s="381" t="s">
        <v>90</v>
      </c>
      <c r="J45" s="380">
        <f>(15000000*5%)+H45</f>
        <v>15750000</v>
      </c>
      <c r="K45" s="381" t="s">
        <v>90</v>
      </c>
      <c r="L45" s="382">
        <f t="shared" si="8"/>
        <v>16537500</v>
      </c>
      <c r="M45" s="381" t="s">
        <v>90</v>
      </c>
      <c r="N45" s="353">
        <f t="shared" si="5"/>
        <v>17364375</v>
      </c>
      <c r="O45" s="381" t="s">
        <v>90</v>
      </c>
      <c r="P45" s="353">
        <f t="shared" si="6"/>
        <v>18232593.75</v>
      </c>
      <c r="Q45" s="381" t="s">
        <v>90</v>
      </c>
      <c r="R45" s="353">
        <f t="shared" si="7"/>
        <v>19144223.4375</v>
      </c>
      <c r="S45" s="381" t="s">
        <v>91</v>
      </c>
      <c r="T45" s="354">
        <f>J45+L45+N45+P45+R45</f>
        <v>87028692.1875</v>
      </c>
      <c r="U45" s="22" t="s">
        <v>86</v>
      </c>
      <c r="V45" s="351" t="s">
        <v>87</v>
      </c>
    </row>
    <row r="46" spans="2:22" ht="62.25" customHeight="1" x14ac:dyDescent="0.2">
      <c r="B46" s="20"/>
      <c r="C46" s="21"/>
      <c r="D46" s="47" t="s">
        <v>157</v>
      </c>
      <c r="E46" s="22" t="s">
        <v>139</v>
      </c>
      <c r="F46" s="22" t="s">
        <v>118</v>
      </c>
      <c r="G46" s="48" t="s">
        <v>93</v>
      </c>
      <c r="H46" s="380">
        <v>25000000</v>
      </c>
      <c r="I46" s="381" t="s">
        <v>93</v>
      </c>
      <c r="J46" s="380">
        <f t="shared" ref="J46:J47" si="9">(15000000*5%)+H46</f>
        <v>25750000</v>
      </c>
      <c r="K46" s="381" t="s">
        <v>93</v>
      </c>
      <c r="L46" s="382">
        <f>(J46*5%)+J46</f>
        <v>27037500</v>
      </c>
      <c r="M46" s="381" t="s">
        <v>93</v>
      </c>
      <c r="N46" s="353">
        <f t="shared" si="5"/>
        <v>28389375</v>
      </c>
      <c r="O46" s="381" t="s">
        <v>93</v>
      </c>
      <c r="P46" s="353">
        <f t="shared" si="6"/>
        <v>29808843.75</v>
      </c>
      <c r="Q46" s="381" t="s">
        <v>93</v>
      </c>
      <c r="R46" s="353">
        <f t="shared" si="7"/>
        <v>31299285.9375</v>
      </c>
      <c r="S46" s="381" t="s">
        <v>94</v>
      </c>
      <c r="T46" s="354">
        <f>J46+L46+N46+P46+R46</f>
        <v>142285004.6875</v>
      </c>
      <c r="U46" s="22" t="s">
        <v>86</v>
      </c>
      <c r="V46" s="351" t="s">
        <v>87</v>
      </c>
    </row>
    <row r="47" spans="2:22" ht="54.75" customHeight="1" x14ac:dyDescent="0.2">
      <c r="B47" s="20"/>
      <c r="C47" s="21"/>
      <c r="D47" s="47" t="s">
        <v>158</v>
      </c>
      <c r="E47" s="22" t="s">
        <v>140</v>
      </c>
      <c r="F47" s="22" t="s">
        <v>119</v>
      </c>
      <c r="G47" s="48" t="s">
        <v>95</v>
      </c>
      <c r="H47" s="380">
        <v>25000000</v>
      </c>
      <c r="I47" s="381" t="s">
        <v>95</v>
      </c>
      <c r="J47" s="380">
        <f t="shared" si="9"/>
        <v>25750000</v>
      </c>
      <c r="K47" s="381" t="s">
        <v>95</v>
      </c>
      <c r="L47" s="382">
        <f t="shared" si="8"/>
        <v>27037500</v>
      </c>
      <c r="M47" s="381" t="s">
        <v>95</v>
      </c>
      <c r="N47" s="353">
        <f t="shared" si="5"/>
        <v>28389375</v>
      </c>
      <c r="O47" s="381" t="s">
        <v>95</v>
      </c>
      <c r="P47" s="353">
        <f t="shared" si="6"/>
        <v>29808843.75</v>
      </c>
      <c r="Q47" s="381" t="s">
        <v>95</v>
      </c>
      <c r="R47" s="353">
        <f t="shared" si="7"/>
        <v>31299285.9375</v>
      </c>
      <c r="S47" s="381" t="s">
        <v>96</v>
      </c>
      <c r="T47" s="354">
        <f>J47+L47+N47+P47+R47</f>
        <v>142285004.6875</v>
      </c>
      <c r="U47" s="22" t="s">
        <v>86</v>
      </c>
      <c r="V47" s="351" t="s">
        <v>87</v>
      </c>
    </row>
    <row r="48" spans="2:22" ht="53.25" customHeight="1" x14ac:dyDescent="0.2">
      <c r="B48" s="20"/>
      <c r="C48" s="21"/>
      <c r="D48" s="17" t="s">
        <v>72</v>
      </c>
      <c r="E48" s="17" t="s">
        <v>73</v>
      </c>
      <c r="F48" s="17" t="s">
        <v>120</v>
      </c>
      <c r="G48" s="19">
        <v>83</v>
      </c>
      <c r="H48" s="348">
        <f>SUM(H49:H51)</f>
        <v>1027768300</v>
      </c>
      <c r="I48" s="17">
        <v>83</v>
      </c>
      <c r="J48" s="348">
        <f>SUM(J49:J51)</f>
        <v>1057571950</v>
      </c>
      <c r="K48" s="17">
        <v>83</v>
      </c>
      <c r="L48" s="348">
        <f>SUM(L49:L51)</f>
        <v>1110450547.5</v>
      </c>
      <c r="M48" s="17">
        <v>83</v>
      </c>
      <c r="N48" s="348">
        <f>SUM(N49:N51)</f>
        <v>1165973074.875</v>
      </c>
      <c r="O48" s="17">
        <v>83</v>
      </c>
      <c r="P48" s="348">
        <f>SUM(P49:P51)</f>
        <v>1224271728.6187501</v>
      </c>
      <c r="Q48" s="17">
        <v>83</v>
      </c>
      <c r="R48" s="348">
        <f>SUM(R49:R51)</f>
        <v>1285485315.0496874</v>
      </c>
      <c r="S48" s="17">
        <v>83</v>
      </c>
      <c r="T48" s="348">
        <f>SUM(T49:T51)</f>
        <v>5843752616.043438</v>
      </c>
      <c r="U48" s="17" t="s">
        <v>86</v>
      </c>
      <c r="V48" s="349" t="s">
        <v>87</v>
      </c>
    </row>
    <row r="49" spans="1:22" ht="56.25" customHeight="1" x14ac:dyDescent="0.2">
      <c r="B49" s="20"/>
      <c r="C49" s="21"/>
      <c r="D49" s="22" t="s">
        <v>159</v>
      </c>
      <c r="E49" s="22" t="s">
        <v>76</v>
      </c>
      <c r="F49" s="22" t="s">
        <v>77</v>
      </c>
      <c r="G49" s="25" t="s">
        <v>97</v>
      </c>
      <c r="H49" s="383">
        <v>198691000</v>
      </c>
      <c r="I49" s="22" t="s">
        <v>97</v>
      </c>
      <c r="J49" s="383">
        <f>(198691000*5%)+H49</f>
        <v>208625550</v>
      </c>
      <c r="K49" s="22" t="s">
        <v>97</v>
      </c>
      <c r="L49" s="382">
        <f>(J49*5%)+J49</f>
        <v>219056827.5</v>
      </c>
      <c r="M49" s="22" t="s">
        <v>97</v>
      </c>
      <c r="N49" s="353">
        <f t="shared" si="5"/>
        <v>230009668.875</v>
      </c>
      <c r="O49" s="22" t="s">
        <v>97</v>
      </c>
      <c r="P49" s="353">
        <f>(N49*5%)+N49</f>
        <v>241510152.31874999</v>
      </c>
      <c r="Q49" s="22" t="s">
        <v>97</v>
      </c>
      <c r="R49" s="353">
        <f>(P49*5%)+P49</f>
        <v>253585659.9346875</v>
      </c>
      <c r="S49" s="22" t="s">
        <v>98</v>
      </c>
      <c r="T49" s="354">
        <f>J49+L49+N49+P49+R49</f>
        <v>1152787858.6284375</v>
      </c>
      <c r="U49" s="22" t="s">
        <v>86</v>
      </c>
      <c r="V49" s="351" t="s">
        <v>87</v>
      </c>
    </row>
    <row r="50" spans="1:22" ht="56.25" customHeight="1" x14ac:dyDescent="0.2">
      <c r="B50" s="20"/>
      <c r="C50" s="21"/>
      <c r="D50" s="22" t="s">
        <v>160</v>
      </c>
      <c r="E50" s="22" t="s">
        <v>79</v>
      </c>
      <c r="F50" s="22" t="s">
        <v>121</v>
      </c>
      <c r="G50" s="25" t="s">
        <v>99</v>
      </c>
      <c r="H50" s="384">
        <v>97077300</v>
      </c>
      <c r="I50" s="22" t="s">
        <v>99</v>
      </c>
      <c r="J50" s="383">
        <f t="shared" ref="J50:J51" si="10">(198691000*5%)+H50</f>
        <v>107011850</v>
      </c>
      <c r="K50" s="22" t="s">
        <v>99</v>
      </c>
      <c r="L50" s="382">
        <f t="shared" ref="L50" si="11">(J50*5%)+J50</f>
        <v>112362442.5</v>
      </c>
      <c r="M50" s="22" t="s">
        <v>99</v>
      </c>
      <c r="N50" s="353">
        <f t="shared" si="5"/>
        <v>117980564.625</v>
      </c>
      <c r="O50" s="22" t="s">
        <v>99</v>
      </c>
      <c r="P50" s="353">
        <f t="shared" si="6"/>
        <v>123879592.85625</v>
      </c>
      <c r="Q50" s="22" t="s">
        <v>99</v>
      </c>
      <c r="R50" s="353">
        <f t="shared" ref="R50:R51" si="12">(P50*5%)+P50</f>
        <v>130073572.49906251</v>
      </c>
      <c r="S50" s="22" t="s">
        <v>100</v>
      </c>
      <c r="T50" s="354">
        <f>J50+L50+N50+P50+R50</f>
        <v>591308022.48031247</v>
      </c>
      <c r="U50" s="22" t="s">
        <v>86</v>
      </c>
      <c r="V50" s="351" t="s">
        <v>87</v>
      </c>
    </row>
    <row r="51" spans="1:22" ht="64.5" customHeight="1" x14ac:dyDescent="0.2">
      <c r="B51" s="20"/>
      <c r="C51" s="21"/>
      <c r="D51" s="22" t="s">
        <v>161</v>
      </c>
      <c r="E51" s="22" t="s">
        <v>83</v>
      </c>
      <c r="F51" s="22" t="s">
        <v>84</v>
      </c>
      <c r="G51" s="25" t="s">
        <v>93</v>
      </c>
      <c r="H51" s="384">
        <v>732000000</v>
      </c>
      <c r="I51" s="22" t="s">
        <v>93</v>
      </c>
      <c r="J51" s="383">
        <f t="shared" si="10"/>
        <v>741934550</v>
      </c>
      <c r="K51" s="22" t="s">
        <v>93</v>
      </c>
      <c r="L51" s="382">
        <f>(J51*5%)+J51</f>
        <v>779031277.5</v>
      </c>
      <c r="M51" s="22" t="s">
        <v>93</v>
      </c>
      <c r="N51" s="353">
        <f t="shared" si="5"/>
        <v>817982841.375</v>
      </c>
      <c r="O51" s="22" t="s">
        <v>93</v>
      </c>
      <c r="P51" s="353">
        <f t="shared" si="6"/>
        <v>858881983.44375002</v>
      </c>
      <c r="Q51" s="22" t="s">
        <v>93</v>
      </c>
      <c r="R51" s="353">
        <f t="shared" si="12"/>
        <v>901826082.61593747</v>
      </c>
      <c r="S51" s="22" t="s">
        <v>94</v>
      </c>
      <c r="T51" s="354">
        <f>J51+L51+N51+P51+R51</f>
        <v>4099656734.9346876</v>
      </c>
      <c r="U51" s="22" t="s">
        <v>86</v>
      </c>
      <c r="V51" s="351" t="s">
        <v>87</v>
      </c>
    </row>
    <row r="52" spans="1:22" x14ac:dyDescent="0.2">
      <c r="B52" s="49" t="s">
        <v>166</v>
      </c>
      <c r="C52" s="50"/>
      <c r="D52" s="50"/>
      <c r="E52" s="50"/>
      <c r="F52" s="50"/>
      <c r="G52" s="50"/>
      <c r="H52" s="385"/>
      <c r="I52" s="386"/>
      <c r="J52" s="387">
        <f>J41+J29</f>
        <v>87797297029.199997</v>
      </c>
      <c r="K52" s="388"/>
      <c r="L52" s="387">
        <f>L41+L29</f>
        <v>92187161880.660004</v>
      </c>
      <c r="M52" s="388"/>
      <c r="N52" s="387">
        <f>N41+N29</f>
        <v>96796519974.692993</v>
      </c>
      <c r="O52" s="388"/>
      <c r="P52" s="387">
        <f>P41+P29</f>
        <v>101636345973.42764</v>
      </c>
      <c r="Q52" s="388"/>
      <c r="R52" s="387">
        <f>R41+R29</f>
        <v>106718163272.09903</v>
      </c>
      <c r="S52" s="51"/>
      <c r="T52" s="52">
        <f>T41+T29</f>
        <v>485135488130.07971</v>
      </c>
      <c r="U52" s="51"/>
      <c r="V52" s="53"/>
    </row>
    <row r="53" spans="1:22" ht="15.75" customHeight="1" x14ac:dyDescent="0.2">
      <c r="A53" s="224"/>
      <c r="B53" s="224"/>
      <c r="C53" s="224"/>
      <c r="D53" s="224"/>
      <c r="E53" s="224"/>
      <c r="F53" s="224"/>
      <c r="G53" s="224"/>
      <c r="H53" s="224"/>
      <c r="I53" s="224"/>
      <c r="J53" s="224"/>
      <c r="K53" s="224"/>
      <c r="L53" s="224"/>
      <c r="M53" s="224"/>
      <c r="N53" s="224"/>
      <c r="O53" s="224"/>
      <c r="P53" s="224"/>
      <c r="Q53" s="224"/>
      <c r="R53" s="224"/>
      <c r="S53" s="224"/>
      <c r="T53" s="224"/>
      <c r="U53" s="224"/>
      <c r="V53" s="224"/>
    </row>
    <row r="54" spans="1:22" ht="21" customHeight="1" x14ac:dyDescent="0.2">
      <c r="B54" s="313" t="s">
        <v>652</v>
      </c>
      <c r="C54" s="316" t="s">
        <v>647</v>
      </c>
      <c r="D54" s="273"/>
      <c r="E54" s="274"/>
      <c r="F54" s="316" t="s">
        <v>167</v>
      </c>
      <c r="G54" s="275" t="s">
        <v>70</v>
      </c>
      <c r="H54" s="276"/>
      <c r="I54" s="275" t="s">
        <v>70</v>
      </c>
      <c r="J54" s="276"/>
      <c r="K54" s="275" t="s">
        <v>70</v>
      </c>
      <c r="L54" s="276"/>
      <c r="M54" s="275" t="s">
        <v>70</v>
      </c>
      <c r="N54" s="276"/>
      <c r="O54" s="275" t="s">
        <v>70</v>
      </c>
      <c r="P54" s="276"/>
      <c r="Q54" s="54" t="s">
        <v>70</v>
      </c>
      <c r="R54" s="273"/>
      <c r="S54" s="54" t="s">
        <v>70</v>
      </c>
      <c r="T54" s="273"/>
      <c r="U54" s="54" t="s">
        <v>168</v>
      </c>
      <c r="V54" s="54" t="s">
        <v>169</v>
      </c>
    </row>
    <row r="55" spans="1:22" x14ac:dyDescent="0.2">
      <c r="B55" s="314"/>
      <c r="C55" s="317"/>
      <c r="D55" s="59"/>
      <c r="E55" s="277"/>
      <c r="F55" s="317"/>
      <c r="G55" s="55" t="s">
        <v>170</v>
      </c>
      <c r="H55" s="59"/>
      <c r="I55" s="55" t="s">
        <v>170</v>
      </c>
      <c r="J55" s="59"/>
      <c r="K55" s="55" t="s">
        <v>170</v>
      </c>
      <c r="L55" s="59"/>
      <c r="M55" s="55" t="s">
        <v>170</v>
      </c>
      <c r="N55" s="59"/>
      <c r="O55" s="55" t="s">
        <v>170</v>
      </c>
      <c r="P55" s="59"/>
      <c r="Q55" s="55" t="s">
        <v>170</v>
      </c>
      <c r="R55" s="59"/>
      <c r="S55" s="55" t="s">
        <v>170</v>
      </c>
      <c r="T55" s="59"/>
      <c r="U55" s="56"/>
      <c r="V55" s="55" t="s">
        <v>23</v>
      </c>
    </row>
    <row r="56" spans="1:22" x14ac:dyDescent="0.2">
      <c r="B56" s="314"/>
      <c r="C56" s="317"/>
      <c r="D56" s="59"/>
      <c r="E56" s="277"/>
      <c r="F56" s="317"/>
      <c r="G56" s="56"/>
      <c r="H56" s="59"/>
      <c r="I56" s="56"/>
      <c r="J56" s="59"/>
      <c r="K56" s="56"/>
      <c r="L56" s="59"/>
      <c r="M56" s="56"/>
      <c r="N56" s="59"/>
      <c r="O56" s="56"/>
      <c r="P56" s="59"/>
      <c r="Q56" s="56"/>
      <c r="R56" s="59"/>
      <c r="S56" s="56"/>
      <c r="T56" s="59"/>
      <c r="U56" s="56"/>
      <c r="V56" s="56"/>
    </row>
    <row r="57" spans="1:22" x14ac:dyDescent="0.2">
      <c r="B57" s="314"/>
      <c r="C57" s="317"/>
      <c r="D57" s="59"/>
      <c r="E57" s="277"/>
      <c r="F57" s="317"/>
      <c r="G57" s="56"/>
      <c r="H57" s="59"/>
      <c r="I57" s="56"/>
      <c r="J57" s="59"/>
      <c r="K57" s="56"/>
      <c r="L57" s="59"/>
      <c r="M57" s="56"/>
      <c r="N57" s="59"/>
      <c r="O57" s="56"/>
      <c r="P57" s="59"/>
      <c r="Q57" s="56"/>
      <c r="R57" s="59"/>
      <c r="S57" s="56"/>
      <c r="T57" s="59"/>
      <c r="U57" s="56"/>
      <c r="V57" s="56"/>
    </row>
    <row r="58" spans="1:22" x14ac:dyDescent="0.2">
      <c r="B58" s="314"/>
      <c r="C58" s="318"/>
      <c r="D58" s="278"/>
      <c r="E58" s="279"/>
      <c r="F58" s="318"/>
      <c r="G58" s="57"/>
      <c r="H58" s="278"/>
      <c r="I58" s="57"/>
      <c r="J58" s="278"/>
      <c r="K58" s="57"/>
      <c r="L58" s="278"/>
      <c r="M58" s="57"/>
      <c r="N58" s="278"/>
      <c r="O58" s="57"/>
      <c r="P58" s="278"/>
      <c r="Q58" s="57"/>
      <c r="R58" s="278"/>
      <c r="S58" s="57"/>
      <c r="T58" s="278"/>
      <c r="U58" s="56"/>
      <c r="V58" s="56"/>
    </row>
    <row r="59" spans="1:22" ht="21" customHeight="1" x14ac:dyDescent="0.2">
      <c r="B59" s="314"/>
      <c r="C59" s="316" t="s">
        <v>648</v>
      </c>
      <c r="D59" s="323">
        <v>1</v>
      </c>
      <c r="E59" s="316" t="s">
        <v>654</v>
      </c>
      <c r="F59" s="316" t="s">
        <v>171</v>
      </c>
      <c r="G59" s="54" t="s">
        <v>70</v>
      </c>
      <c r="H59" s="68">
        <v>389500000</v>
      </c>
      <c r="I59" s="54" t="s">
        <v>70</v>
      </c>
      <c r="J59" s="68">
        <v>428450000</v>
      </c>
      <c r="K59" s="54" t="s">
        <v>70</v>
      </c>
      <c r="L59" s="68">
        <v>471295000</v>
      </c>
      <c r="M59" s="54" t="s">
        <v>70</v>
      </c>
      <c r="N59" s="68">
        <v>518424500</v>
      </c>
      <c r="O59" s="54" t="s">
        <v>70</v>
      </c>
      <c r="P59" s="68">
        <v>570266950</v>
      </c>
      <c r="Q59" s="54" t="s">
        <v>71</v>
      </c>
      <c r="R59" s="68">
        <v>2844976600</v>
      </c>
      <c r="S59" s="54" t="s">
        <v>71</v>
      </c>
      <c r="T59" s="68">
        <v>2844976600</v>
      </c>
      <c r="U59" s="56"/>
      <c r="V59" s="56"/>
    </row>
    <row r="60" spans="1:22" x14ac:dyDescent="0.2">
      <c r="B60" s="314"/>
      <c r="C60" s="317"/>
      <c r="D60" s="324"/>
      <c r="E60" s="317"/>
      <c r="F60" s="317"/>
      <c r="G60" s="55" t="s">
        <v>170</v>
      </c>
      <c r="H60" s="56"/>
      <c r="I60" s="55" t="s">
        <v>170</v>
      </c>
      <c r="J60" s="56"/>
      <c r="K60" s="55" t="s">
        <v>170</v>
      </c>
      <c r="L60" s="56"/>
      <c r="M60" s="55" t="s">
        <v>170</v>
      </c>
      <c r="N60" s="56"/>
      <c r="O60" s="55" t="s">
        <v>170</v>
      </c>
      <c r="P60" s="56"/>
      <c r="Q60" s="55" t="s">
        <v>170</v>
      </c>
      <c r="R60" s="56"/>
      <c r="S60" s="55" t="s">
        <v>170</v>
      </c>
      <c r="T60" s="56"/>
      <c r="U60" s="56"/>
      <c r="V60" s="56"/>
    </row>
    <row r="61" spans="1:22" x14ac:dyDescent="0.2">
      <c r="B61" s="314"/>
      <c r="C61" s="317"/>
      <c r="D61" s="324"/>
      <c r="E61" s="317"/>
      <c r="F61" s="317"/>
      <c r="G61" s="56"/>
      <c r="H61" s="56"/>
      <c r="I61" s="56"/>
      <c r="J61" s="56"/>
      <c r="K61" s="56"/>
      <c r="L61" s="56"/>
      <c r="M61" s="56"/>
      <c r="N61" s="56"/>
      <c r="O61" s="56"/>
      <c r="P61" s="56"/>
      <c r="Q61" s="56"/>
      <c r="R61" s="56"/>
      <c r="S61" s="56"/>
      <c r="T61" s="56"/>
      <c r="U61" s="56"/>
      <c r="V61" s="56"/>
    </row>
    <row r="62" spans="1:22" x14ac:dyDescent="0.2">
      <c r="B62" s="314"/>
      <c r="C62" s="317"/>
      <c r="D62" s="324"/>
      <c r="E62" s="317"/>
      <c r="F62" s="317"/>
      <c r="G62" s="56"/>
      <c r="H62" s="56"/>
      <c r="I62" s="56"/>
      <c r="J62" s="56"/>
      <c r="K62" s="56"/>
      <c r="L62" s="56"/>
      <c r="M62" s="56"/>
      <c r="N62" s="56"/>
      <c r="O62" s="56"/>
      <c r="P62" s="56"/>
      <c r="Q62" s="56"/>
      <c r="R62" s="56"/>
      <c r="S62" s="56"/>
      <c r="T62" s="56"/>
      <c r="U62" s="56"/>
      <c r="V62" s="56"/>
    </row>
    <row r="63" spans="1:22" x14ac:dyDescent="0.2">
      <c r="B63" s="314"/>
      <c r="C63" s="317"/>
      <c r="D63" s="324"/>
      <c r="E63" s="317"/>
      <c r="F63" s="317"/>
      <c r="G63" s="56"/>
      <c r="H63" s="56"/>
      <c r="I63" s="56"/>
      <c r="J63" s="56"/>
      <c r="K63" s="56"/>
      <c r="L63" s="56"/>
      <c r="M63" s="56"/>
      <c r="N63" s="56"/>
      <c r="O63" s="56"/>
      <c r="P63" s="56"/>
      <c r="Q63" s="56"/>
      <c r="R63" s="56"/>
      <c r="S63" s="56"/>
      <c r="T63" s="56"/>
      <c r="U63" s="56"/>
      <c r="V63" s="56"/>
    </row>
    <row r="64" spans="1:22" x14ac:dyDescent="0.2">
      <c r="B64" s="314"/>
      <c r="C64" s="318"/>
      <c r="D64" s="324"/>
      <c r="E64" s="317"/>
      <c r="F64" s="318"/>
      <c r="G64" s="57"/>
      <c r="H64" s="57"/>
      <c r="I64" s="57"/>
      <c r="J64" s="57"/>
      <c r="K64" s="57"/>
      <c r="L64" s="57"/>
      <c r="M64" s="57"/>
      <c r="N64" s="57"/>
      <c r="O64" s="57"/>
      <c r="P64" s="57"/>
      <c r="Q64" s="57"/>
      <c r="R64" s="57"/>
      <c r="S64" s="57"/>
      <c r="T64" s="57"/>
      <c r="U64" s="62"/>
      <c r="V64" s="62"/>
    </row>
    <row r="65" spans="2:22" ht="21" customHeight="1" x14ac:dyDescent="0.2">
      <c r="B65" s="314"/>
      <c r="C65" s="316" t="s">
        <v>649</v>
      </c>
      <c r="D65" s="324"/>
      <c r="E65" s="317"/>
      <c r="F65" s="316" t="s">
        <v>172</v>
      </c>
      <c r="G65" s="281">
        <v>89.25</v>
      </c>
      <c r="H65" s="273"/>
      <c r="I65" s="282">
        <v>89.5</v>
      </c>
      <c r="J65" s="273"/>
      <c r="K65" s="283">
        <v>90</v>
      </c>
      <c r="L65" s="273"/>
      <c r="M65" s="281">
        <v>90.25</v>
      </c>
      <c r="N65" s="273"/>
      <c r="O65" s="282">
        <v>90.5</v>
      </c>
      <c r="P65" s="273"/>
      <c r="Q65" s="282">
        <v>90.5</v>
      </c>
      <c r="R65" s="273"/>
      <c r="S65" s="282">
        <v>90.5</v>
      </c>
      <c r="T65" s="273"/>
      <c r="U65" s="62"/>
      <c r="V65" s="62"/>
    </row>
    <row r="66" spans="2:22" x14ac:dyDescent="0.2">
      <c r="B66" s="314"/>
      <c r="C66" s="317"/>
      <c r="D66" s="324"/>
      <c r="E66" s="317"/>
      <c r="F66" s="317"/>
      <c r="G66" s="55" t="s">
        <v>173</v>
      </c>
      <c r="H66" s="59"/>
      <c r="I66" s="55" t="s">
        <v>173</v>
      </c>
      <c r="J66" s="59"/>
      <c r="K66" s="55" t="s">
        <v>173</v>
      </c>
      <c r="L66" s="59"/>
      <c r="M66" s="55" t="s">
        <v>173</v>
      </c>
      <c r="N66" s="59"/>
      <c r="O66" s="55" t="s">
        <v>173</v>
      </c>
      <c r="P66" s="59"/>
      <c r="Q66" s="55" t="s">
        <v>173</v>
      </c>
      <c r="R66" s="59"/>
      <c r="S66" s="55" t="s">
        <v>173</v>
      </c>
      <c r="T66" s="59"/>
      <c r="U66" s="56"/>
      <c r="V66" s="56"/>
    </row>
    <row r="67" spans="2:22" x14ac:dyDescent="0.2">
      <c r="B67" s="314"/>
      <c r="C67" s="318"/>
      <c r="D67" s="325"/>
      <c r="E67" s="318"/>
      <c r="F67" s="318"/>
      <c r="G67" s="57"/>
      <c r="H67" s="278"/>
      <c r="I67" s="57"/>
      <c r="J67" s="278"/>
      <c r="K67" s="57"/>
      <c r="L67" s="278"/>
      <c r="M67" s="57"/>
      <c r="N67" s="278"/>
      <c r="O67" s="57"/>
      <c r="P67" s="278"/>
      <c r="Q67" s="57"/>
      <c r="R67" s="278"/>
      <c r="S67" s="57"/>
      <c r="T67" s="278"/>
      <c r="U67" s="56"/>
      <c r="V67" s="56"/>
    </row>
    <row r="68" spans="2:22" ht="31.5" customHeight="1" x14ac:dyDescent="0.2">
      <c r="B68" s="314"/>
      <c r="C68" s="316" t="s">
        <v>650</v>
      </c>
      <c r="D68" s="320">
        <v>36892</v>
      </c>
      <c r="E68" s="316" t="s">
        <v>653</v>
      </c>
      <c r="F68" s="316" t="s">
        <v>179</v>
      </c>
      <c r="G68" s="54" t="s">
        <v>174</v>
      </c>
      <c r="H68" s="68">
        <v>34000000</v>
      </c>
      <c r="I68" s="54" t="s">
        <v>175</v>
      </c>
      <c r="J68" s="68">
        <v>37400000</v>
      </c>
      <c r="K68" s="54" t="s">
        <v>176</v>
      </c>
      <c r="L68" s="68">
        <v>41140000</v>
      </c>
      <c r="M68" s="54" t="s">
        <v>177</v>
      </c>
      <c r="N68" s="68">
        <v>45254000</v>
      </c>
      <c r="O68" s="54" t="s">
        <v>178</v>
      </c>
      <c r="P68" s="68">
        <v>49779400</v>
      </c>
      <c r="Q68" s="54" t="s">
        <v>178</v>
      </c>
      <c r="R68" s="68">
        <v>674613550</v>
      </c>
      <c r="S68" s="54" t="s">
        <v>178</v>
      </c>
      <c r="T68" s="68">
        <v>674613550</v>
      </c>
      <c r="U68" s="56"/>
      <c r="V68" s="56"/>
    </row>
    <row r="69" spans="2:22" x14ac:dyDescent="0.2">
      <c r="B69" s="314"/>
      <c r="C69" s="317"/>
      <c r="D69" s="321"/>
      <c r="E69" s="317"/>
      <c r="F69" s="317"/>
      <c r="G69" s="56"/>
      <c r="H69" s="56"/>
      <c r="I69" s="56"/>
      <c r="J69" s="56"/>
      <c r="K69" s="56"/>
      <c r="L69" s="56"/>
      <c r="M69" s="56"/>
      <c r="N69" s="56"/>
      <c r="O69" s="56"/>
      <c r="P69" s="56"/>
      <c r="Q69" s="56"/>
      <c r="R69" s="56"/>
      <c r="S69" s="56"/>
      <c r="T69" s="56"/>
      <c r="U69" s="56"/>
      <c r="V69" s="56"/>
    </row>
    <row r="70" spans="2:22" x14ac:dyDescent="0.2">
      <c r="B70" s="314"/>
      <c r="C70" s="317"/>
      <c r="D70" s="322"/>
      <c r="E70" s="318"/>
      <c r="F70" s="318"/>
      <c r="G70" s="57"/>
      <c r="H70" s="57"/>
      <c r="I70" s="57"/>
      <c r="J70" s="57"/>
      <c r="K70" s="57"/>
      <c r="L70" s="57"/>
      <c r="M70" s="57"/>
      <c r="N70" s="57"/>
      <c r="O70" s="57"/>
      <c r="P70" s="57"/>
      <c r="Q70" s="57"/>
      <c r="R70" s="57"/>
      <c r="S70" s="57"/>
      <c r="T70" s="57"/>
      <c r="U70" s="62"/>
      <c r="V70" s="62"/>
    </row>
    <row r="71" spans="2:22" ht="22.5" x14ac:dyDescent="0.2">
      <c r="B71" s="314"/>
      <c r="C71" s="317"/>
      <c r="D71" s="285">
        <v>1</v>
      </c>
      <c r="E71" s="60" t="s">
        <v>259</v>
      </c>
      <c r="F71" s="60" t="s">
        <v>260</v>
      </c>
      <c r="G71" s="67" t="s">
        <v>180</v>
      </c>
      <c r="H71" s="72">
        <v>5000000</v>
      </c>
      <c r="I71" s="67" t="s">
        <v>180</v>
      </c>
      <c r="J71" s="72">
        <v>5500000</v>
      </c>
      <c r="K71" s="67" t="s">
        <v>180</v>
      </c>
      <c r="L71" s="72">
        <v>6050000</v>
      </c>
      <c r="M71" s="67" t="s">
        <v>180</v>
      </c>
      <c r="N71" s="72">
        <v>6655000</v>
      </c>
      <c r="O71" s="67" t="s">
        <v>180</v>
      </c>
      <c r="P71" s="72">
        <v>7320500</v>
      </c>
      <c r="Q71" s="67" t="s">
        <v>180</v>
      </c>
      <c r="R71" s="74">
        <v>30525500</v>
      </c>
      <c r="S71" s="67" t="s">
        <v>180</v>
      </c>
      <c r="T71" s="74">
        <v>30525500</v>
      </c>
      <c r="U71" s="62"/>
      <c r="V71" s="62"/>
    </row>
    <row r="72" spans="2:22" x14ac:dyDescent="0.2">
      <c r="B72" s="314"/>
      <c r="C72" s="317"/>
      <c r="D72" s="286">
        <v>2</v>
      </c>
      <c r="E72" s="61" t="s">
        <v>181</v>
      </c>
      <c r="F72" s="61" t="s">
        <v>182</v>
      </c>
      <c r="G72" s="61" t="s">
        <v>183</v>
      </c>
      <c r="H72" s="287">
        <v>5000000</v>
      </c>
      <c r="I72" s="61" t="s">
        <v>183</v>
      </c>
      <c r="J72" s="287">
        <v>5500000</v>
      </c>
      <c r="K72" s="61" t="s">
        <v>183</v>
      </c>
      <c r="L72" s="287">
        <v>6050000</v>
      </c>
      <c r="M72" s="61" t="s">
        <v>183</v>
      </c>
      <c r="N72" s="287">
        <v>6655000</v>
      </c>
      <c r="O72" s="61" t="s">
        <v>183</v>
      </c>
      <c r="P72" s="287">
        <v>7320500</v>
      </c>
      <c r="Q72" s="61" t="s">
        <v>183</v>
      </c>
      <c r="R72" s="68">
        <v>30525500</v>
      </c>
      <c r="S72" s="61" t="s">
        <v>183</v>
      </c>
      <c r="T72" s="68">
        <v>30525500</v>
      </c>
      <c r="U72" s="56"/>
      <c r="V72" s="56"/>
    </row>
    <row r="73" spans="2:22" x14ac:dyDescent="0.2">
      <c r="B73" s="314"/>
      <c r="C73" s="317"/>
      <c r="D73" s="63"/>
      <c r="E73" s="64" t="s">
        <v>184</v>
      </c>
      <c r="F73" s="64" t="s">
        <v>185</v>
      </c>
      <c r="G73" s="63"/>
      <c r="H73" s="63"/>
      <c r="I73" s="63"/>
      <c r="J73" s="63"/>
      <c r="K73" s="63"/>
      <c r="L73" s="63"/>
      <c r="M73" s="63"/>
      <c r="N73" s="63"/>
      <c r="O73" s="63"/>
      <c r="P73" s="63"/>
      <c r="Q73" s="63"/>
      <c r="R73" s="63"/>
      <c r="S73" s="63"/>
      <c r="T73" s="63"/>
      <c r="U73" s="62"/>
      <c r="V73" s="62"/>
    </row>
    <row r="74" spans="2:22" ht="22.5" x14ac:dyDescent="0.2">
      <c r="B74" s="314"/>
      <c r="C74" s="317"/>
      <c r="D74" s="286">
        <v>3</v>
      </c>
      <c r="E74" s="61" t="s">
        <v>186</v>
      </c>
      <c r="F74" s="61" t="s">
        <v>187</v>
      </c>
      <c r="G74" s="61" t="s">
        <v>183</v>
      </c>
      <c r="H74" s="287">
        <v>5000000</v>
      </c>
      <c r="I74" s="61" t="s">
        <v>183</v>
      </c>
      <c r="J74" s="287">
        <v>5500000</v>
      </c>
      <c r="K74" s="61" t="s">
        <v>183</v>
      </c>
      <c r="L74" s="287">
        <v>6050000</v>
      </c>
      <c r="M74" s="61" t="s">
        <v>183</v>
      </c>
      <c r="N74" s="287">
        <v>6655000</v>
      </c>
      <c r="O74" s="61" t="s">
        <v>183</v>
      </c>
      <c r="P74" s="287">
        <v>7320500</v>
      </c>
      <c r="Q74" s="61" t="s">
        <v>183</v>
      </c>
      <c r="R74" s="68">
        <v>30525500</v>
      </c>
      <c r="S74" s="61" t="s">
        <v>183</v>
      </c>
      <c r="T74" s="68">
        <v>30525500</v>
      </c>
      <c r="U74" s="56"/>
      <c r="V74" s="56"/>
    </row>
    <row r="75" spans="2:22" x14ac:dyDescent="0.2">
      <c r="B75" s="314"/>
      <c r="C75" s="317"/>
      <c r="D75" s="56"/>
      <c r="E75" s="65"/>
      <c r="F75" s="65" t="s">
        <v>188</v>
      </c>
      <c r="G75" s="56"/>
      <c r="H75" s="56"/>
      <c r="I75" s="56"/>
      <c r="J75" s="56"/>
      <c r="K75" s="56"/>
      <c r="L75" s="56"/>
      <c r="M75" s="56"/>
      <c r="N75" s="56"/>
      <c r="O75" s="56"/>
      <c r="P75" s="56"/>
      <c r="Q75" s="56"/>
      <c r="R75" s="56"/>
      <c r="S75" s="56"/>
      <c r="T75" s="56"/>
      <c r="U75" s="56"/>
      <c r="V75" s="56"/>
    </row>
    <row r="76" spans="2:22" x14ac:dyDescent="0.2">
      <c r="B76" s="314"/>
      <c r="C76" s="317"/>
      <c r="D76" s="57"/>
      <c r="E76" s="64"/>
      <c r="F76" s="64" t="s">
        <v>189</v>
      </c>
      <c r="G76" s="57"/>
      <c r="H76" s="57"/>
      <c r="I76" s="57"/>
      <c r="J76" s="57"/>
      <c r="K76" s="57"/>
      <c r="L76" s="57"/>
      <c r="M76" s="57"/>
      <c r="N76" s="57"/>
      <c r="O76" s="57"/>
      <c r="P76" s="57"/>
      <c r="Q76" s="57"/>
      <c r="R76" s="57"/>
      <c r="S76" s="57"/>
      <c r="T76" s="57"/>
      <c r="U76" s="56"/>
      <c r="V76" s="56"/>
    </row>
    <row r="77" spans="2:22" x14ac:dyDescent="0.2">
      <c r="B77" s="314"/>
      <c r="C77" s="317"/>
      <c r="D77" s="286">
        <v>4</v>
      </c>
      <c r="E77" s="61" t="s">
        <v>181</v>
      </c>
      <c r="F77" s="61" t="s">
        <v>190</v>
      </c>
      <c r="G77" s="61" t="s">
        <v>183</v>
      </c>
      <c r="H77" s="287">
        <v>6000000</v>
      </c>
      <c r="I77" s="61" t="s">
        <v>183</v>
      </c>
      <c r="J77" s="287">
        <v>6600000</v>
      </c>
      <c r="K77" s="61" t="s">
        <v>183</v>
      </c>
      <c r="L77" s="287">
        <v>7260000</v>
      </c>
      <c r="M77" s="61" t="s">
        <v>183</v>
      </c>
      <c r="N77" s="287">
        <v>7986000</v>
      </c>
      <c r="O77" s="61" t="s">
        <v>183</v>
      </c>
      <c r="P77" s="287">
        <v>8784600</v>
      </c>
      <c r="Q77" s="61" t="s">
        <v>183</v>
      </c>
      <c r="R77" s="68">
        <v>36630600</v>
      </c>
      <c r="S77" s="61" t="s">
        <v>183</v>
      </c>
      <c r="T77" s="68">
        <v>36630600</v>
      </c>
      <c r="U77" s="56"/>
      <c r="V77" s="56"/>
    </row>
    <row r="78" spans="2:22" x14ac:dyDescent="0.2">
      <c r="B78" s="314"/>
      <c r="C78" s="317"/>
      <c r="D78" s="63"/>
      <c r="E78" s="64" t="s">
        <v>191</v>
      </c>
      <c r="F78" s="64" t="s">
        <v>192</v>
      </c>
      <c r="G78" s="63"/>
      <c r="H78" s="63"/>
      <c r="I78" s="63"/>
      <c r="J78" s="63"/>
      <c r="K78" s="63"/>
      <c r="L78" s="63"/>
      <c r="M78" s="63"/>
      <c r="N78" s="63"/>
      <c r="O78" s="63"/>
      <c r="P78" s="63"/>
      <c r="Q78" s="63"/>
      <c r="R78" s="63"/>
      <c r="S78" s="63"/>
      <c r="T78" s="63"/>
      <c r="U78" s="62"/>
      <c r="V78" s="62"/>
    </row>
    <row r="79" spans="2:22" x14ac:dyDescent="0.2">
      <c r="B79" s="314"/>
      <c r="C79" s="317"/>
      <c r="D79" s="286">
        <v>5</v>
      </c>
      <c r="E79" s="61" t="s">
        <v>181</v>
      </c>
      <c r="F79" s="61" t="s">
        <v>193</v>
      </c>
      <c r="G79" s="61" t="s">
        <v>183</v>
      </c>
      <c r="H79" s="287">
        <v>6000000</v>
      </c>
      <c r="I79" s="61" t="s">
        <v>183</v>
      </c>
      <c r="J79" s="287">
        <v>6600000</v>
      </c>
      <c r="K79" s="61" t="s">
        <v>183</v>
      </c>
      <c r="L79" s="287">
        <v>7260000</v>
      </c>
      <c r="M79" s="61" t="s">
        <v>183</v>
      </c>
      <c r="N79" s="287">
        <v>7986000</v>
      </c>
      <c r="O79" s="61" t="s">
        <v>183</v>
      </c>
      <c r="P79" s="287">
        <v>8784600</v>
      </c>
      <c r="Q79" s="61" t="s">
        <v>183</v>
      </c>
      <c r="R79" s="68">
        <v>36630600</v>
      </c>
      <c r="S79" s="61" t="s">
        <v>183</v>
      </c>
      <c r="T79" s="68">
        <v>36630600</v>
      </c>
      <c r="U79" s="56"/>
      <c r="V79" s="56"/>
    </row>
    <row r="80" spans="2:22" x14ac:dyDescent="0.2">
      <c r="B80" s="314"/>
      <c r="C80" s="317"/>
      <c r="D80" s="56"/>
      <c r="E80" s="65" t="s">
        <v>194</v>
      </c>
      <c r="F80" s="65" t="s">
        <v>188</v>
      </c>
      <c r="G80" s="56"/>
      <c r="H80" s="56"/>
      <c r="I80" s="56"/>
      <c r="J80" s="56"/>
      <c r="K80" s="56"/>
      <c r="L80" s="56"/>
      <c r="M80" s="56"/>
      <c r="N80" s="56"/>
      <c r="O80" s="56"/>
      <c r="P80" s="56"/>
      <c r="Q80" s="56"/>
      <c r="R80" s="56"/>
      <c r="S80" s="56"/>
      <c r="T80" s="56"/>
      <c r="U80" s="56"/>
      <c r="V80" s="56"/>
    </row>
    <row r="81" spans="2:22" x14ac:dyDescent="0.2">
      <c r="B81" s="314"/>
      <c r="C81" s="317"/>
      <c r="D81" s="63"/>
      <c r="E81" s="63"/>
      <c r="F81" s="64" t="s">
        <v>195</v>
      </c>
      <c r="G81" s="63"/>
      <c r="H81" s="63"/>
      <c r="I81" s="63"/>
      <c r="J81" s="63"/>
      <c r="K81" s="63"/>
      <c r="L81" s="63"/>
      <c r="M81" s="63"/>
      <c r="N81" s="63"/>
      <c r="O81" s="63"/>
      <c r="P81" s="63"/>
      <c r="Q81" s="63"/>
      <c r="R81" s="63"/>
      <c r="S81" s="63"/>
      <c r="T81" s="63"/>
      <c r="U81" s="62"/>
      <c r="V81" s="62"/>
    </row>
    <row r="82" spans="2:22" ht="33.75" x14ac:dyDescent="0.2">
      <c r="B82" s="314"/>
      <c r="C82" s="317"/>
      <c r="D82" s="286">
        <v>6</v>
      </c>
      <c r="E82" s="61" t="s">
        <v>196</v>
      </c>
      <c r="F82" s="61" t="s">
        <v>197</v>
      </c>
      <c r="G82" s="61" t="s">
        <v>198</v>
      </c>
      <c r="H82" s="287">
        <v>7000000</v>
      </c>
      <c r="I82" s="61" t="s">
        <v>198</v>
      </c>
      <c r="J82" s="287">
        <v>7700000</v>
      </c>
      <c r="K82" s="61" t="s">
        <v>198</v>
      </c>
      <c r="L82" s="287">
        <v>8470000</v>
      </c>
      <c r="M82" s="61" t="s">
        <v>198</v>
      </c>
      <c r="N82" s="287">
        <v>9317000</v>
      </c>
      <c r="O82" s="61" t="s">
        <v>198</v>
      </c>
      <c r="P82" s="287">
        <v>10248700</v>
      </c>
      <c r="Q82" s="61" t="s">
        <v>198</v>
      </c>
      <c r="R82" s="68">
        <v>42735700</v>
      </c>
      <c r="S82" s="61" t="s">
        <v>198</v>
      </c>
      <c r="T82" s="68">
        <v>42735700</v>
      </c>
      <c r="U82" s="56"/>
      <c r="V82" s="56"/>
    </row>
    <row r="83" spans="2:22" x14ac:dyDescent="0.2">
      <c r="B83" s="314"/>
      <c r="C83" s="317"/>
      <c r="D83" s="56"/>
      <c r="E83" s="65"/>
      <c r="F83" s="65" t="s">
        <v>199</v>
      </c>
      <c r="G83" s="56"/>
      <c r="H83" s="56"/>
      <c r="I83" s="56"/>
      <c r="J83" s="56"/>
      <c r="K83" s="56"/>
      <c r="L83" s="56"/>
      <c r="M83" s="56"/>
      <c r="N83" s="56"/>
      <c r="O83" s="56"/>
      <c r="P83" s="56"/>
      <c r="Q83" s="56"/>
      <c r="R83" s="56"/>
      <c r="S83" s="56"/>
      <c r="T83" s="56"/>
      <c r="U83" s="56"/>
      <c r="V83" s="56"/>
    </row>
    <row r="84" spans="2:22" x14ac:dyDescent="0.2">
      <c r="B84" s="314"/>
      <c r="C84" s="317"/>
      <c r="D84" s="56"/>
      <c r="E84" s="65"/>
      <c r="F84" s="65" t="s">
        <v>200</v>
      </c>
      <c r="G84" s="56"/>
      <c r="H84" s="56"/>
      <c r="I84" s="56"/>
      <c r="J84" s="56"/>
      <c r="K84" s="56"/>
      <c r="L84" s="56"/>
      <c r="M84" s="56"/>
      <c r="N84" s="56"/>
      <c r="O84" s="56"/>
      <c r="P84" s="56"/>
      <c r="Q84" s="56"/>
      <c r="R84" s="56"/>
      <c r="S84" s="56"/>
      <c r="T84" s="56"/>
      <c r="U84" s="56"/>
      <c r="V84" s="56"/>
    </row>
    <row r="85" spans="2:22" x14ac:dyDescent="0.2">
      <c r="B85" s="314"/>
      <c r="C85" s="318"/>
      <c r="D85" s="63"/>
      <c r="E85" s="64"/>
      <c r="F85" s="64" t="s">
        <v>201</v>
      </c>
      <c r="G85" s="63"/>
      <c r="H85" s="63"/>
      <c r="I85" s="63"/>
      <c r="J85" s="63"/>
      <c r="K85" s="63"/>
      <c r="L85" s="63"/>
      <c r="M85" s="63"/>
      <c r="N85" s="63"/>
      <c r="O85" s="63"/>
      <c r="P85" s="63"/>
      <c r="Q85" s="63"/>
      <c r="R85" s="63"/>
      <c r="S85" s="63"/>
      <c r="T85" s="63"/>
      <c r="U85" s="62"/>
      <c r="V85" s="62"/>
    </row>
    <row r="86" spans="2:22" ht="21" customHeight="1" x14ac:dyDescent="0.2">
      <c r="B86" s="314"/>
      <c r="C86" s="316" t="s">
        <v>651</v>
      </c>
      <c r="D86" s="320">
        <v>38718</v>
      </c>
      <c r="E86" s="316" t="s">
        <v>291</v>
      </c>
      <c r="F86" s="316" t="s">
        <v>202</v>
      </c>
      <c r="G86" s="281">
        <v>89.25</v>
      </c>
      <c r="H86" s="68">
        <v>345000000</v>
      </c>
      <c r="I86" s="282">
        <v>89.5</v>
      </c>
      <c r="J86" s="68">
        <v>379500000</v>
      </c>
      <c r="K86" s="283">
        <v>90</v>
      </c>
      <c r="L86" s="68">
        <v>417450000</v>
      </c>
      <c r="M86" s="281">
        <v>90.25</v>
      </c>
      <c r="N86" s="68">
        <v>459195000</v>
      </c>
      <c r="O86" s="282">
        <v>90.5</v>
      </c>
      <c r="P86" s="68">
        <v>505114500</v>
      </c>
      <c r="Q86" s="282">
        <v>90.5</v>
      </c>
      <c r="R86" s="68">
        <v>2106259500</v>
      </c>
      <c r="S86" s="282">
        <v>90.5</v>
      </c>
      <c r="T86" s="68">
        <v>2106259500</v>
      </c>
      <c r="U86" s="56"/>
      <c r="V86" s="56"/>
    </row>
    <row r="87" spans="2:22" x14ac:dyDescent="0.2">
      <c r="B87" s="314"/>
      <c r="C87" s="317"/>
      <c r="D87" s="321"/>
      <c r="E87" s="317"/>
      <c r="F87" s="317"/>
      <c r="G87" s="55" t="s">
        <v>173</v>
      </c>
      <c r="H87" s="56"/>
      <c r="I87" s="55" t="s">
        <v>173</v>
      </c>
      <c r="J87" s="56"/>
      <c r="K87" s="55" t="s">
        <v>173</v>
      </c>
      <c r="L87" s="56"/>
      <c r="M87" s="55" t="s">
        <v>173</v>
      </c>
      <c r="N87" s="56"/>
      <c r="O87" s="55" t="s">
        <v>173</v>
      </c>
      <c r="P87" s="56"/>
      <c r="Q87" s="55" t="s">
        <v>173</v>
      </c>
      <c r="R87" s="56"/>
      <c r="S87" s="55" t="s">
        <v>173</v>
      </c>
      <c r="T87" s="56"/>
      <c r="U87" s="56"/>
      <c r="V87" s="56"/>
    </row>
    <row r="88" spans="2:22" x14ac:dyDescent="0.2">
      <c r="B88" s="314"/>
      <c r="C88" s="317"/>
      <c r="D88" s="322"/>
      <c r="E88" s="318"/>
      <c r="F88" s="318"/>
      <c r="G88" s="57"/>
      <c r="H88" s="57"/>
      <c r="I88" s="57"/>
      <c r="J88" s="57"/>
      <c r="K88" s="57"/>
      <c r="L88" s="57"/>
      <c r="M88" s="57"/>
      <c r="N88" s="57"/>
      <c r="O88" s="57"/>
      <c r="P88" s="57"/>
      <c r="Q88" s="57"/>
      <c r="R88" s="57"/>
      <c r="S88" s="57"/>
      <c r="T88" s="57"/>
      <c r="U88" s="56"/>
      <c r="V88" s="56"/>
    </row>
    <row r="89" spans="2:22" x14ac:dyDescent="0.2">
      <c r="B89" s="314"/>
      <c r="C89" s="317"/>
      <c r="D89" s="286">
        <v>2</v>
      </c>
      <c r="E89" s="61" t="s">
        <v>203</v>
      </c>
      <c r="F89" s="61" t="s">
        <v>204</v>
      </c>
      <c r="G89" s="61" t="s">
        <v>205</v>
      </c>
      <c r="H89" s="287">
        <v>95000000</v>
      </c>
      <c r="I89" s="61" t="s">
        <v>205</v>
      </c>
      <c r="J89" s="287">
        <v>104500000</v>
      </c>
      <c r="K89" s="61" t="s">
        <v>205</v>
      </c>
      <c r="L89" s="287">
        <v>114950000</v>
      </c>
      <c r="M89" s="61" t="s">
        <v>205</v>
      </c>
      <c r="N89" s="287">
        <v>126445000</v>
      </c>
      <c r="O89" s="61" t="s">
        <v>205</v>
      </c>
      <c r="P89" s="287">
        <v>139089500</v>
      </c>
      <c r="Q89" s="61" t="s">
        <v>205</v>
      </c>
      <c r="R89" s="68">
        <v>579984500</v>
      </c>
      <c r="S89" s="61" t="s">
        <v>205</v>
      </c>
      <c r="T89" s="68">
        <v>579984500</v>
      </c>
      <c r="U89" s="56"/>
      <c r="V89" s="56"/>
    </row>
    <row r="90" spans="2:22" x14ac:dyDescent="0.2">
      <c r="B90" s="314"/>
      <c r="C90" s="317"/>
      <c r="D90" s="57"/>
      <c r="E90" s="64" t="s">
        <v>206</v>
      </c>
      <c r="F90" s="64" t="s">
        <v>207</v>
      </c>
      <c r="G90" s="57"/>
      <c r="H90" s="57"/>
      <c r="I90" s="57"/>
      <c r="J90" s="57"/>
      <c r="K90" s="57"/>
      <c r="L90" s="57"/>
      <c r="M90" s="57"/>
      <c r="N90" s="57"/>
      <c r="O90" s="57"/>
      <c r="P90" s="57"/>
      <c r="Q90" s="57"/>
      <c r="R90" s="57"/>
      <c r="S90" s="57"/>
      <c r="T90" s="57"/>
      <c r="U90" s="56"/>
      <c r="V90" s="56"/>
    </row>
    <row r="91" spans="2:22" x14ac:dyDescent="0.2">
      <c r="B91" s="314"/>
      <c r="C91" s="317"/>
      <c r="D91" s="286">
        <v>5</v>
      </c>
      <c r="E91" s="61" t="s">
        <v>208</v>
      </c>
      <c r="F91" s="61" t="s">
        <v>209</v>
      </c>
      <c r="G91" s="61" t="s">
        <v>99</v>
      </c>
      <c r="H91" s="61" t="s">
        <v>210</v>
      </c>
      <c r="I91" s="61" t="s">
        <v>99</v>
      </c>
      <c r="J91" s="61" t="s">
        <v>210</v>
      </c>
      <c r="K91" s="61" t="s">
        <v>99</v>
      </c>
      <c r="L91" s="61" t="s">
        <v>210</v>
      </c>
      <c r="M91" s="61" t="s">
        <v>99</v>
      </c>
      <c r="N91" s="61" t="s">
        <v>210</v>
      </c>
      <c r="O91" s="61" t="s">
        <v>99</v>
      </c>
      <c r="P91" s="61" t="s">
        <v>210</v>
      </c>
      <c r="Q91" s="61" t="s">
        <v>99</v>
      </c>
      <c r="R91" s="54" t="s">
        <v>210</v>
      </c>
      <c r="S91" s="61" t="s">
        <v>99</v>
      </c>
      <c r="T91" s="54" t="s">
        <v>210</v>
      </c>
      <c r="U91" s="56"/>
      <c r="V91" s="56"/>
    </row>
    <row r="92" spans="2:22" x14ac:dyDescent="0.2">
      <c r="B92" s="314"/>
      <c r="C92" s="317"/>
      <c r="D92" s="57"/>
      <c r="E92" s="64" t="s">
        <v>211</v>
      </c>
      <c r="F92" s="64" t="s">
        <v>212</v>
      </c>
      <c r="G92" s="57"/>
      <c r="H92" s="57"/>
      <c r="I92" s="57"/>
      <c r="J92" s="57"/>
      <c r="K92" s="57"/>
      <c r="L92" s="57"/>
      <c r="M92" s="57"/>
      <c r="N92" s="57"/>
      <c r="O92" s="57"/>
      <c r="P92" s="57"/>
      <c r="Q92" s="57"/>
      <c r="R92" s="57"/>
      <c r="S92" s="57"/>
      <c r="T92" s="57"/>
      <c r="U92" s="56"/>
      <c r="V92" s="56"/>
    </row>
    <row r="93" spans="2:22" x14ac:dyDescent="0.2">
      <c r="B93" s="314"/>
      <c r="C93" s="317"/>
      <c r="D93" s="286">
        <v>6</v>
      </c>
      <c r="E93" s="61" t="s">
        <v>208</v>
      </c>
      <c r="F93" s="61" t="s">
        <v>213</v>
      </c>
      <c r="G93" s="61" t="s">
        <v>100</v>
      </c>
      <c r="H93" s="61" t="s">
        <v>210</v>
      </c>
      <c r="I93" s="61" t="s">
        <v>100</v>
      </c>
      <c r="J93" s="61" t="s">
        <v>210</v>
      </c>
      <c r="K93" s="61" t="s">
        <v>100</v>
      </c>
      <c r="L93" s="61" t="s">
        <v>210</v>
      </c>
      <c r="M93" s="61" t="s">
        <v>100</v>
      </c>
      <c r="N93" s="61" t="s">
        <v>210</v>
      </c>
      <c r="O93" s="61" t="s">
        <v>100</v>
      </c>
      <c r="P93" s="61" t="s">
        <v>210</v>
      </c>
      <c r="Q93" s="61" t="s">
        <v>100</v>
      </c>
      <c r="R93" s="54" t="s">
        <v>210</v>
      </c>
      <c r="S93" s="61" t="s">
        <v>100</v>
      </c>
      <c r="T93" s="54" t="s">
        <v>210</v>
      </c>
      <c r="U93" s="56"/>
      <c r="V93" s="56"/>
    </row>
    <row r="94" spans="2:22" x14ac:dyDescent="0.2">
      <c r="B94" s="314"/>
      <c r="C94" s="317"/>
      <c r="D94" s="57"/>
      <c r="E94" s="64" t="s">
        <v>211</v>
      </c>
      <c r="F94" s="64" t="s">
        <v>214</v>
      </c>
      <c r="G94" s="57"/>
      <c r="H94" s="57"/>
      <c r="I94" s="57"/>
      <c r="J94" s="57"/>
      <c r="K94" s="57"/>
      <c r="L94" s="57"/>
      <c r="M94" s="57"/>
      <c r="N94" s="57"/>
      <c r="O94" s="57"/>
      <c r="P94" s="57"/>
      <c r="Q94" s="57"/>
      <c r="R94" s="57"/>
      <c r="S94" s="57"/>
      <c r="T94" s="57"/>
      <c r="U94" s="56"/>
      <c r="V94" s="56"/>
    </row>
    <row r="95" spans="2:22" x14ac:dyDescent="0.2">
      <c r="B95" s="314"/>
      <c r="C95" s="317"/>
      <c r="D95" s="286">
        <v>9</v>
      </c>
      <c r="E95" s="61" t="s">
        <v>215</v>
      </c>
      <c r="F95" s="61" t="s">
        <v>216</v>
      </c>
      <c r="G95" s="61" t="s">
        <v>217</v>
      </c>
      <c r="H95" s="287">
        <v>250000000</v>
      </c>
      <c r="I95" s="61" t="s">
        <v>217</v>
      </c>
      <c r="J95" s="287">
        <v>275000000</v>
      </c>
      <c r="K95" s="61" t="s">
        <v>217</v>
      </c>
      <c r="L95" s="287">
        <v>302500000</v>
      </c>
      <c r="M95" s="61" t="s">
        <v>217</v>
      </c>
      <c r="N95" s="287">
        <v>332750000</v>
      </c>
      <c r="O95" s="61" t="s">
        <v>217</v>
      </c>
      <c r="P95" s="287">
        <v>366025000</v>
      </c>
      <c r="Q95" s="61" t="s">
        <v>217</v>
      </c>
      <c r="R95" s="68">
        <v>1526275000</v>
      </c>
      <c r="S95" s="61" t="s">
        <v>217</v>
      </c>
      <c r="T95" s="68">
        <v>1526275000</v>
      </c>
      <c r="U95" s="56"/>
      <c r="V95" s="56"/>
    </row>
    <row r="96" spans="2:22" x14ac:dyDescent="0.2">
      <c r="B96" s="314"/>
      <c r="C96" s="317"/>
      <c r="D96" s="57"/>
      <c r="E96" s="64" t="s">
        <v>218</v>
      </c>
      <c r="F96" s="64" t="s">
        <v>219</v>
      </c>
      <c r="G96" s="57"/>
      <c r="H96" s="57"/>
      <c r="I96" s="57"/>
      <c r="J96" s="57"/>
      <c r="K96" s="57"/>
      <c r="L96" s="57"/>
      <c r="M96" s="57"/>
      <c r="N96" s="57"/>
      <c r="O96" s="57"/>
      <c r="P96" s="57"/>
      <c r="Q96" s="57"/>
      <c r="R96" s="57"/>
      <c r="S96" s="57"/>
      <c r="T96" s="57"/>
      <c r="U96" s="56"/>
      <c r="V96" s="56"/>
    </row>
    <row r="97" spans="2:22" ht="21" customHeight="1" x14ac:dyDescent="0.2">
      <c r="B97" s="314"/>
      <c r="C97" s="317"/>
      <c r="D97" s="284">
        <v>39448</v>
      </c>
      <c r="E97" s="316" t="s">
        <v>562</v>
      </c>
      <c r="F97" s="316" t="s">
        <v>202</v>
      </c>
      <c r="G97" s="283">
        <v>89</v>
      </c>
      <c r="H97" s="68">
        <v>10500000</v>
      </c>
      <c r="I97" s="283">
        <v>89</v>
      </c>
      <c r="J97" s="68">
        <v>11550000</v>
      </c>
      <c r="K97" s="283">
        <v>89</v>
      </c>
      <c r="L97" s="68">
        <v>12705000</v>
      </c>
      <c r="M97" s="283">
        <v>90</v>
      </c>
      <c r="N97" s="68">
        <v>13975500</v>
      </c>
      <c r="O97" s="283">
        <v>90</v>
      </c>
      <c r="P97" s="68">
        <v>15373050</v>
      </c>
      <c r="Q97" s="283">
        <v>90</v>
      </c>
      <c r="R97" s="68">
        <v>64103550</v>
      </c>
      <c r="S97" s="283">
        <v>90</v>
      </c>
      <c r="T97" s="68">
        <v>64103550</v>
      </c>
      <c r="U97" s="56"/>
      <c r="V97" s="56"/>
    </row>
    <row r="98" spans="2:22" x14ac:dyDescent="0.2">
      <c r="B98" s="314"/>
      <c r="C98" s="317"/>
      <c r="D98" s="63"/>
      <c r="E98" s="318"/>
      <c r="F98" s="318"/>
      <c r="G98" s="58" t="s">
        <v>173</v>
      </c>
      <c r="H98" s="63"/>
      <c r="I98" s="58" t="s">
        <v>173</v>
      </c>
      <c r="J98" s="63"/>
      <c r="K98" s="58" t="s">
        <v>173</v>
      </c>
      <c r="L98" s="63"/>
      <c r="M98" s="58" t="s">
        <v>173</v>
      </c>
      <c r="N98" s="63"/>
      <c r="O98" s="58" t="s">
        <v>173</v>
      </c>
      <c r="P98" s="63"/>
      <c r="Q98" s="58" t="s">
        <v>173</v>
      </c>
      <c r="R98" s="63"/>
      <c r="S98" s="58" t="s">
        <v>173</v>
      </c>
      <c r="T98" s="63"/>
      <c r="U98" s="62"/>
      <c r="V98" s="62"/>
    </row>
    <row r="99" spans="2:22" x14ac:dyDescent="0.2">
      <c r="B99" s="314"/>
      <c r="C99" s="317"/>
      <c r="D99" s="286">
        <v>1</v>
      </c>
      <c r="E99" s="61" t="s">
        <v>220</v>
      </c>
      <c r="F99" s="61" t="s">
        <v>221</v>
      </c>
      <c r="G99" s="61" t="s">
        <v>30</v>
      </c>
      <c r="H99" s="287">
        <v>10500000</v>
      </c>
      <c r="I99" s="61" t="s">
        <v>30</v>
      </c>
      <c r="J99" s="287">
        <v>11550000</v>
      </c>
      <c r="K99" s="61" t="s">
        <v>30</v>
      </c>
      <c r="L99" s="287">
        <v>12705000</v>
      </c>
      <c r="M99" s="61" t="s">
        <v>30</v>
      </c>
      <c r="N99" s="287">
        <v>13975500</v>
      </c>
      <c r="O99" s="61" t="s">
        <v>30</v>
      </c>
      <c r="P99" s="287">
        <v>15373050</v>
      </c>
      <c r="Q99" s="61" t="s">
        <v>30</v>
      </c>
      <c r="R99" s="68">
        <v>64103550</v>
      </c>
      <c r="S99" s="61" t="s">
        <v>30</v>
      </c>
      <c r="T99" s="68">
        <v>64103550</v>
      </c>
      <c r="U99" s="56"/>
      <c r="V99" s="56"/>
    </row>
    <row r="100" spans="2:22" x14ac:dyDescent="0.2">
      <c r="B100" s="315"/>
      <c r="C100" s="318"/>
      <c r="D100" s="63"/>
      <c r="E100" s="64" t="s">
        <v>222</v>
      </c>
      <c r="F100" s="64" t="s">
        <v>222</v>
      </c>
      <c r="G100" s="63"/>
      <c r="H100" s="63"/>
      <c r="I100" s="63"/>
      <c r="J100" s="63"/>
      <c r="K100" s="63"/>
      <c r="L100" s="63"/>
      <c r="M100" s="63"/>
      <c r="N100" s="63"/>
      <c r="O100" s="63"/>
      <c r="P100" s="63"/>
      <c r="Q100" s="63"/>
      <c r="R100" s="63"/>
      <c r="S100" s="63"/>
      <c r="T100" s="63"/>
      <c r="U100" s="63"/>
      <c r="V100" s="63"/>
    </row>
    <row r="101" spans="2:22" ht="42" x14ac:dyDescent="0.2">
      <c r="B101" s="319" t="s">
        <v>223</v>
      </c>
      <c r="C101" s="66" t="s">
        <v>224</v>
      </c>
      <c r="D101" s="60"/>
      <c r="E101" s="288"/>
      <c r="F101" s="67" t="s">
        <v>225</v>
      </c>
      <c r="G101" s="289">
        <v>75</v>
      </c>
      <c r="H101" s="60"/>
      <c r="I101" s="289">
        <v>75</v>
      </c>
      <c r="J101" s="60"/>
      <c r="K101" s="289">
        <v>76</v>
      </c>
      <c r="L101" s="60"/>
      <c r="M101" s="289">
        <v>76</v>
      </c>
      <c r="N101" s="60"/>
      <c r="O101" s="289">
        <v>77</v>
      </c>
      <c r="P101" s="60"/>
      <c r="Q101" s="289">
        <v>77</v>
      </c>
      <c r="R101" s="60"/>
      <c r="S101" s="289">
        <v>77</v>
      </c>
      <c r="T101" s="60"/>
      <c r="U101" s="54" t="s">
        <v>168</v>
      </c>
      <c r="V101" s="54" t="s">
        <v>87</v>
      </c>
    </row>
    <row r="102" spans="2:22" ht="21" x14ac:dyDescent="0.2">
      <c r="B102" s="326"/>
      <c r="C102" s="316" t="s">
        <v>226</v>
      </c>
      <c r="D102" s="290">
        <v>37347</v>
      </c>
      <c r="E102" s="280" t="s">
        <v>227</v>
      </c>
      <c r="F102" s="66" t="s">
        <v>228</v>
      </c>
      <c r="G102" s="60" t="s">
        <v>261</v>
      </c>
      <c r="H102" s="221">
        <v>1500000000</v>
      </c>
      <c r="I102" s="60" t="s">
        <v>261</v>
      </c>
      <c r="J102" s="218">
        <v>1600000000</v>
      </c>
      <c r="K102" s="60" t="s">
        <v>261</v>
      </c>
      <c r="L102" s="218">
        <v>1700000000</v>
      </c>
      <c r="M102" s="60" t="s">
        <v>261</v>
      </c>
      <c r="N102" s="218">
        <v>1800000000</v>
      </c>
      <c r="O102" s="60" t="s">
        <v>261</v>
      </c>
      <c r="P102" s="221">
        <v>1900000000</v>
      </c>
      <c r="Q102" s="60" t="s">
        <v>262</v>
      </c>
      <c r="R102" s="221">
        <v>8500000000</v>
      </c>
      <c r="S102" s="60" t="s">
        <v>262</v>
      </c>
      <c r="T102" s="68">
        <v>8500000000</v>
      </c>
      <c r="U102" s="55"/>
      <c r="V102" s="55"/>
    </row>
    <row r="103" spans="2:22" ht="21" x14ac:dyDescent="0.2">
      <c r="B103" s="326"/>
      <c r="C103" s="317"/>
      <c r="D103" s="291"/>
      <c r="E103" s="292"/>
      <c r="F103" s="66" t="s">
        <v>229</v>
      </c>
      <c r="G103" s="60" t="s">
        <v>261</v>
      </c>
      <c r="H103" s="222"/>
      <c r="I103" s="60" t="s">
        <v>261</v>
      </c>
      <c r="J103" s="219"/>
      <c r="K103" s="60" t="s">
        <v>261</v>
      </c>
      <c r="L103" s="219"/>
      <c r="M103" s="60" t="s">
        <v>261</v>
      </c>
      <c r="N103" s="219"/>
      <c r="O103" s="60" t="s">
        <v>261</v>
      </c>
      <c r="P103" s="222"/>
      <c r="Q103" s="60" t="s">
        <v>261</v>
      </c>
      <c r="R103" s="222"/>
      <c r="S103" s="60" t="s">
        <v>261</v>
      </c>
      <c r="T103" s="69"/>
      <c r="U103" s="55"/>
      <c r="V103" s="55"/>
    </row>
    <row r="104" spans="2:22" ht="21" x14ac:dyDescent="0.2">
      <c r="B104" s="326"/>
      <c r="C104" s="318"/>
      <c r="D104" s="293"/>
      <c r="E104" s="294"/>
      <c r="F104" s="66" t="s">
        <v>230</v>
      </c>
      <c r="G104" s="60" t="s">
        <v>261</v>
      </c>
      <c r="H104" s="223"/>
      <c r="I104" s="60" t="s">
        <v>261</v>
      </c>
      <c r="J104" s="220"/>
      <c r="K104" s="60" t="s">
        <v>261</v>
      </c>
      <c r="L104" s="220"/>
      <c r="M104" s="60" t="s">
        <v>261</v>
      </c>
      <c r="N104" s="220"/>
      <c r="O104" s="60" t="s">
        <v>261</v>
      </c>
      <c r="P104" s="223"/>
      <c r="Q104" s="60" t="s">
        <v>261</v>
      </c>
      <c r="R104" s="223"/>
      <c r="S104" s="60" t="s">
        <v>261</v>
      </c>
      <c r="T104" s="70"/>
      <c r="U104" s="55"/>
      <c r="V104" s="55"/>
    </row>
    <row r="105" spans="2:22" ht="31.5" customHeight="1" x14ac:dyDescent="0.2">
      <c r="B105" s="326"/>
      <c r="C105" s="316" t="s">
        <v>231</v>
      </c>
      <c r="D105" s="66" t="s">
        <v>232</v>
      </c>
      <c r="E105" s="295" t="s">
        <v>233</v>
      </c>
      <c r="F105" s="66" t="s">
        <v>234</v>
      </c>
      <c r="G105" s="60" t="s">
        <v>261</v>
      </c>
      <c r="H105" s="74">
        <v>770000000</v>
      </c>
      <c r="I105" s="60" t="s">
        <v>261</v>
      </c>
      <c r="J105" s="74">
        <v>830000000</v>
      </c>
      <c r="K105" s="60" t="s">
        <v>261</v>
      </c>
      <c r="L105" s="74">
        <v>910000000</v>
      </c>
      <c r="M105" s="60" t="s">
        <v>261</v>
      </c>
      <c r="N105" s="71">
        <v>980000000</v>
      </c>
      <c r="O105" s="60" t="s">
        <v>261</v>
      </c>
      <c r="P105" s="74">
        <v>1050000000</v>
      </c>
      <c r="Q105" s="60" t="s">
        <v>261</v>
      </c>
      <c r="R105" s="74">
        <v>4540000000</v>
      </c>
      <c r="S105" s="60" t="s">
        <v>261</v>
      </c>
      <c r="T105" s="74">
        <v>4540000000</v>
      </c>
      <c r="U105" s="55"/>
      <c r="V105" s="55"/>
    </row>
    <row r="106" spans="2:22" ht="22.5" x14ac:dyDescent="0.2">
      <c r="B106" s="326"/>
      <c r="C106" s="317"/>
      <c r="D106" s="285">
        <v>1</v>
      </c>
      <c r="E106" s="67" t="s">
        <v>235</v>
      </c>
      <c r="F106" s="67" t="s">
        <v>236</v>
      </c>
      <c r="G106" s="67" t="s">
        <v>237</v>
      </c>
      <c r="H106" s="72">
        <v>200000000</v>
      </c>
      <c r="I106" s="67" t="s">
        <v>237</v>
      </c>
      <c r="J106" s="72">
        <v>220000000</v>
      </c>
      <c r="K106" s="67" t="s">
        <v>237</v>
      </c>
      <c r="L106" s="72">
        <v>250000000</v>
      </c>
      <c r="M106" s="67" t="s">
        <v>237</v>
      </c>
      <c r="N106" s="72">
        <v>270000000</v>
      </c>
      <c r="O106" s="67" t="s">
        <v>237</v>
      </c>
      <c r="P106" s="72">
        <v>300000000</v>
      </c>
      <c r="Q106" s="67" t="s">
        <v>237</v>
      </c>
      <c r="R106" s="74">
        <v>1240000000</v>
      </c>
      <c r="S106" s="67" t="s">
        <v>237</v>
      </c>
      <c r="T106" s="74">
        <v>1240000000</v>
      </c>
      <c r="U106" s="55"/>
      <c r="V106" s="55"/>
    </row>
    <row r="107" spans="2:22" ht="22.5" x14ac:dyDescent="0.2">
      <c r="B107" s="326"/>
      <c r="C107" s="317"/>
      <c r="D107" s="285">
        <v>2</v>
      </c>
      <c r="E107" s="67" t="s">
        <v>238</v>
      </c>
      <c r="F107" s="67" t="s">
        <v>239</v>
      </c>
      <c r="G107" s="67" t="s">
        <v>240</v>
      </c>
      <c r="H107" s="72">
        <v>120000000</v>
      </c>
      <c r="I107" s="67" t="s">
        <v>241</v>
      </c>
      <c r="J107" s="72">
        <v>130000000</v>
      </c>
      <c r="K107" s="67" t="s">
        <v>240</v>
      </c>
      <c r="L107" s="72">
        <v>150000000</v>
      </c>
      <c r="M107" s="67" t="s">
        <v>240</v>
      </c>
      <c r="N107" s="72">
        <v>160000000</v>
      </c>
      <c r="O107" s="67" t="s">
        <v>240</v>
      </c>
      <c r="P107" s="72">
        <v>170000000</v>
      </c>
      <c r="Q107" s="67" t="s">
        <v>240</v>
      </c>
      <c r="R107" s="74">
        <v>730000000</v>
      </c>
      <c r="S107" s="67" t="s">
        <v>240</v>
      </c>
      <c r="T107" s="74">
        <v>730000000</v>
      </c>
      <c r="U107" s="55"/>
      <c r="V107" s="55"/>
    </row>
    <row r="108" spans="2:22" ht="22.5" x14ac:dyDescent="0.2">
      <c r="B108" s="326"/>
      <c r="C108" s="317"/>
      <c r="D108" s="285">
        <v>3</v>
      </c>
      <c r="E108" s="67" t="s">
        <v>242</v>
      </c>
      <c r="F108" s="67" t="s">
        <v>243</v>
      </c>
      <c r="G108" s="67" t="s">
        <v>244</v>
      </c>
      <c r="H108" s="72">
        <v>170000000</v>
      </c>
      <c r="I108" s="67" t="s">
        <v>244</v>
      </c>
      <c r="J108" s="72">
        <v>180000000</v>
      </c>
      <c r="K108" s="67" t="s">
        <v>245</v>
      </c>
      <c r="L108" s="72">
        <v>200000000</v>
      </c>
      <c r="M108" s="67" t="s">
        <v>245</v>
      </c>
      <c r="N108" s="72">
        <v>220000000</v>
      </c>
      <c r="O108" s="67" t="s">
        <v>245</v>
      </c>
      <c r="P108" s="72">
        <v>230000000</v>
      </c>
      <c r="Q108" s="67" t="s">
        <v>245</v>
      </c>
      <c r="R108" s="74">
        <v>1000000000</v>
      </c>
      <c r="S108" s="67" t="s">
        <v>245</v>
      </c>
      <c r="T108" s="74">
        <v>1000000000</v>
      </c>
      <c r="U108" s="55"/>
      <c r="V108" s="55"/>
    </row>
    <row r="109" spans="2:22" ht="22.5" x14ac:dyDescent="0.2">
      <c r="B109" s="326"/>
      <c r="C109" s="318"/>
      <c r="D109" s="285">
        <v>4</v>
      </c>
      <c r="E109" s="67" t="s">
        <v>246</v>
      </c>
      <c r="F109" s="67" t="s">
        <v>247</v>
      </c>
      <c r="G109" s="67" t="s">
        <v>248</v>
      </c>
      <c r="H109" s="72">
        <v>280000000</v>
      </c>
      <c r="I109" s="67" t="s">
        <v>248</v>
      </c>
      <c r="J109" s="72">
        <v>300000000</v>
      </c>
      <c r="K109" s="67" t="s">
        <v>248</v>
      </c>
      <c r="L109" s="72">
        <v>310000000</v>
      </c>
      <c r="M109" s="67" t="s">
        <v>248</v>
      </c>
      <c r="N109" s="72">
        <v>330000000</v>
      </c>
      <c r="O109" s="67" t="s">
        <v>248</v>
      </c>
      <c r="P109" s="72">
        <v>350000000</v>
      </c>
      <c r="Q109" s="67" t="s">
        <v>248</v>
      </c>
      <c r="R109" s="74">
        <v>1570000000</v>
      </c>
      <c r="S109" s="67" t="s">
        <v>248</v>
      </c>
      <c r="T109" s="74">
        <v>1570000000</v>
      </c>
      <c r="U109" s="55"/>
      <c r="V109" s="55"/>
    </row>
    <row r="110" spans="2:22" ht="21" x14ac:dyDescent="0.2">
      <c r="B110" s="326"/>
      <c r="C110" s="313" t="s">
        <v>249</v>
      </c>
      <c r="D110" s="66" t="s">
        <v>250</v>
      </c>
      <c r="E110" s="295" t="s">
        <v>251</v>
      </c>
      <c r="F110" s="66" t="s">
        <v>252</v>
      </c>
      <c r="G110" s="60" t="s">
        <v>261</v>
      </c>
      <c r="H110" s="74">
        <v>730000000</v>
      </c>
      <c r="I110" s="60" t="s">
        <v>261</v>
      </c>
      <c r="J110" s="74">
        <v>770000000</v>
      </c>
      <c r="K110" s="60" t="s">
        <v>261</v>
      </c>
      <c r="L110" s="74">
        <v>790000000</v>
      </c>
      <c r="M110" s="60" t="s">
        <v>261</v>
      </c>
      <c r="N110" s="71">
        <v>820000000</v>
      </c>
      <c r="O110" s="60" t="s">
        <v>261</v>
      </c>
      <c r="P110" s="74">
        <v>850000000</v>
      </c>
      <c r="Q110" s="60" t="s">
        <v>261</v>
      </c>
      <c r="R110" s="74">
        <v>3960000000</v>
      </c>
      <c r="S110" s="60" t="s">
        <v>261</v>
      </c>
      <c r="T110" s="74">
        <v>3960000000</v>
      </c>
      <c r="U110" s="55"/>
      <c r="V110" s="55"/>
    </row>
    <row r="111" spans="2:22" x14ac:dyDescent="0.2">
      <c r="B111" s="326"/>
      <c r="C111" s="314"/>
      <c r="D111" s="285">
        <v>1</v>
      </c>
      <c r="E111" s="67" t="s">
        <v>253</v>
      </c>
      <c r="F111" s="67" t="s">
        <v>254</v>
      </c>
      <c r="G111" s="67" t="s">
        <v>255</v>
      </c>
      <c r="H111" s="72">
        <v>600000000</v>
      </c>
      <c r="I111" s="67" t="s">
        <v>255</v>
      </c>
      <c r="J111" s="72">
        <v>620000000</v>
      </c>
      <c r="K111" s="67" t="s">
        <v>255</v>
      </c>
      <c r="L111" s="72">
        <v>630000000</v>
      </c>
      <c r="M111" s="67" t="s">
        <v>255</v>
      </c>
      <c r="N111" s="72">
        <v>650000000</v>
      </c>
      <c r="O111" s="67" t="s">
        <v>255</v>
      </c>
      <c r="P111" s="72">
        <v>670000000</v>
      </c>
      <c r="Q111" s="67" t="s">
        <v>255</v>
      </c>
      <c r="R111" s="74">
        <v>3170000000</v>
      </c>
      <c r="S111" s="67" t="s">
        <v>255</v>
      </c>
      <c r="T111" s="74">
        <v>3170000000</v>
      </c>
      <c r="U111" s="55"/>
      <c r="V111" s="55"/>
    </row>
    <row r="112" spans="2:22" ht="22.5" x14ac:dyDescent="0.2">
      <c r="B112" s="326"/>
      <c r="C112" s="315"/>
      <c r="D112" s="285">
        <v>2</v>
      </c>
      <c r="E112" s="67" t="s">
        <v>256</v>
      </c>
      <c r="F112" s="67" t="s">
        <v>257</v>
      </c>
      <c r="G112" s="67" t="s">
        <v>258</v>
      </c>
      <c r="H112" s="72">
        <v>130000000</v>
      </c>
      <c r="I112" s="67" t="s">
        <v>258</v>
      </c>
      <c r="J112" s="72">
        <v>150000000</v>
      </c>
      <c r="K112" s="67" t="s">
        <v>258</v>
      </c>
      <c r="L112" s="72">
        <v>160000000</v>
      </c>
      <c r="M112" s="67" t="s">
        <v>258</v>
      </c>
      <c r="N112" s="72">
        <v>170000000</v>
      </c>
      <c r="O112" s="67" t="s">
        <v>258</v>
      </c>
      <c r="P112" s="72">
        <v>180000000</v>
      </c>
      <c r="Q112" s="67" t="s">
        <v>258</v>
      </c>
      <c r="R112" s="74">
        <v>790000000</v>
      </c>
      <c r="S112" s="67" t="s">
        <v>258</v>
      </c>
      <c r="T112" s="74">
        <v>790000000</v>
      </c>
      <c r="U112" s="55"/>
      <c r="V112" s="55"/>
    </row>
    <row r="113" spans="2:22" x14ac:dyDescent="0.2">
      <c r="B113" s="327"/>
      <c r="C113" s="296"/>
      <c r="D113" s="296"/>
      <c r="E113" s="296"/>
      <c r="F113" s="297"/>
      <c r="G113" s="73"/>
      <c r="H113" s="74">
        <v>1889500000</v>
      </c>
      <c r="I113" s="73"/>
      <c r="J113" s="74">
        <v>2028450000</v>
      </c>
      <c r="K113" s="73"/>
      <c r="L113" s="74">
        <v>2171295000</v>
      </c>
      <c r="M113" s="73"/>
      <c r="N113" s="74">
        <v>2318424500</v>
      </c>
      <c r="O113" s="73"/>
      <c r="P113" s="74">
        <v>2470266950</v>
      </c>
      <c r="Q113" s="73"/>
      <c r="R113" s="74">
        <v>11344976600</v>
      </c>
      <c r="S113" s="73"/>
      <c r="T113" s="74">
        <v>11344976600</v>
      </c>
      <c r="U113" s="58"/>
      <c r="V113" s="58"/>
    </row>
    <row r="115" spans="2:22" ht="33.75" x14ac:dyDescent="0.2">
      <c r="B115" s="75" t="s">
        <v>322</v>
      </c>
      <c r="C115" s="4" t="s">
        <v>323</v>
      </c>
      <c r="D115" s="247" t="s">
        <v>152</v>
      </c>
      <c r="E115" s="76" t="s">
        <v>287</v>
      </c>
      <c r="F115" s="76" t="s">
        <v>270</v>
      </c>
      <c r="G115" s="76"/>
      <c r="H115" s="77">
        <f>H116+H120</f>
        <v>464043000</v>
      </c>
      <c r="I115" s="78" t="s">
        <v>69</v>
      </c>
      <c r="J115" s="79">
        <f>J116+J120</f>
        <v>464043000</v>
      </c>
      <c r="K115" s="78" t="s">
        <v>70</v>
      </c>
      <c r="L115" s="79">
        <f>L116+L120</f>
        <v>584043000</v>
      </c>
      <c r="M115" s="78" t="s">
        <v>70</v>
      </c>
      <c r="N115" s="79">
        <f>N116+N120</f>
        <v>704043000</v>
      </c>
      <c r="O115" s="78" t="s">
        <v>70</v>
      </c>
      <c r="P115" s="79">
        <f>P116+P120</f>
        <v>824043000</v>
      </c>
      <c r="Q115" s="1" t="s">
        <v>71</v>
      </c>
      <c r="R115" s="80">
        <f>R116+R120</f>
        <v>944043000</v>
      </c>
      <c r="S115" s="1" t="s">
        <v>71</v>
      </c>
      <c r="T115" s="80">
        <f>R115</f>
        <v>944043000</v>
      </c>
      <c r="U115" s="1"/>
      <c r="V115" s="1"/>
    </row>
    <row r="116" spans="2:22" ht="21" x14ac:dyDescent="0.2">
      <c r="B116" s="75"/>
      <c r="C116" s="4"/>
      <c r="D116" s="239" t="s">
        <v>153</v>
      </c>
      <c r="E116" s="81" t="s">
        <v>288</v>
      </c>
      <c r="F116" s="81" t="s">
        <v>74</v>
      </c>
      <c r="G116" s="81"/>
      <c r="H116" s="82">
        <f>SUM(H117:H119)</f>
        <v>71800000</v>
      </c>
      <c r="I116" s="83">
        <v>1</v>
      </c>
      <c r="J116" s="84">
        <f t="shared" ref="J116:R116" si="13">SUM(J117:J119)</f>
        <v>71800000</v>
      </c>
      <c r="K116" s="83">
        <v>1</v>
      </c>
      <c r="L116" s="84">
        <f t="shared" si="13"/>
        <v>131800000</v>
      </c>
      <c r="M116" s="83">
        <v>1</v>
      </c>
      <c r="N116" s="84">
        <f t="shared" si="13"/>
        <v>191800000</v>
      </c>
      <c r="O116" s="83">
        <v>1</v>
      </c>
      <c r="P116" s="84">
        <f t="shared" si="13"/>
        <v>251800000</v>
      </c>
      <c r="Q116" s="85">
        <v>1</v>
      </c>
      <c r="R116" s="82">
        <f t="shared" si="13"/>
        <v>311800000</v>
      </c>
      <c r="S116" s="85">
        <v>1</v>
      </c>
      <c r="T116" s="82">
        <f t="shared" ref="T116" si="14">SUM(T117:T119)</f>
        <v>311800000</v>
      </c>
      <c r="U116" s="86" t="s">
        <v>269</v>
      </c>
      <c r="V116" s="3" t="s">
        <v>23</v>
      </c>
    </row>
    <row r="117" spans="2:22" ht="22.5" x14ac:dyDescent="0.2">
      <c r="B117" s="75"/>
      <c r="C117" s="4"/>
      <c r="D117" s="239" t="s">
        <v>307</v>
      </c>
      <c r="E117" s="87" t="s">
        <v>136</v>
      </c>
      <c r="F117" s="88" t="s">
        <v>115</v>
      </c>
      <c r="G117" s="88"/>
      <c r="H117" s="89">
        <v>31300000</v>
      </c>
      <c r="I117" s="90" t="s">
        <v>180</v>
      </c>
      <c r="J117" s="91">
        <v>31300000</v>
      </c>
      <c r="K117" s="90" t="s">
        <v>180</v>
      </c>
      <c r="L117" s="91">
        <v>51300000</v>
      </c>
      <c r="M117" s="90" t="s">
        <v>180</v>
      </c>
      <c r="N117" s="91">
        <v>71300000</v>
      </c>
      <c r="O117" s="90" t="s">
        <v>180</v>
      </c>
      <c r="P117" s="91">
        <v>91300000</v>
      </c>
      <c r="Q117" s="3" t="s">
        <v>180</v>
      </c>
      <c r="R117" s="89">
        <v>111300000</v>
      </c>
      <c r="S117" s="3" t="s">
        <v>180</v>
      </c>
      <c r="T117" s="89">
        <v>111300000</v>
      </c>
      <c r="U117" s="86" t="s">
        <v>269</v>
      </c>
      <c r="V117" s="3" t="s">
        <v>23</v>
      </c>
    </row>
    <row r="118" spans="2:22" ht="33.75" x14ac:dyDescent="0.2">
      <c r="B118" s="75"/>
      <c r="C118" s="4"/>
      <c r="D118" s="239" t="s">
        <v>308</v>
      </c>
      <c r="E118" s="87" t="s">
        <v>289</v>
      </c>
      <c r="F118" s="88" t="s">
        <v>271</v>
      </c>
      <c r="G118" s="88"/>
      <c r="H118" s="89">
        <v>24000000</v>
      </c>
      <c r="I118" s="90" t="s">
        <v>263</v>
      </c>
      <c r="J118" s="91">
        <v>24000000</v>
      </c>
      <c r="K118" s="90" t="s">
        <v>263</v>
      </c>
      <c r="L118" s="91">
        <v>44000000</v>
      </c>
      <c r="M118" s="90" t="s">
        <v>263</v>
      </c>
      <c r="N118" s="91">
        <v>64000000</v>
      </c>
      <c r="O118" s="90" t="s">
        <v>263</v>
      </c>
      <c r="P118" s="91">
        <v>84000000</v>
      </c>
      <c r="Q118" s="3" t="s">
        <v>263</v>
      </c>
      <c r="R118" s="89">
        <v>104000000</v>
      </c>
      <c r="S118" s="3" t="s">
        <v>263</v>
      </c>
      <c r="T118" s="89">
        <v>104000000</v>
      </c>
      <c r="U118" s="86" t="s">
        <v>269</v>
      </c>
      <c r="V118" s="3" t="s">
        <v>23</v>
      </c>
    </row>
    <row r="119" spans="2:22" x14ac:dyDescent="0.2">
      <c r="B119" s="75"/>
      <c r="C119" s="4"/>
      <c r="D119" s="239" t="s">
        <v>309</v>
      </c>
      <c r="E119" s="87" t="s">
        <v>290</v>
      </c>
      <c r="F119" s="88" t="s">
        <v>119</v>
      </c>
      <c r="G119" s="88"/>
      <c r="H119" s="89">
        <v>16500000</v>
      </c>
      <c r="I119" s="90" t="s">
        <v>264</v>
      </c>
      <c r="J119" s="91">
        <v>16500000</v>
      </c>
      <c r="K119" s="90" t="s">
        <v>264</v>
      </c>
      <c r="L119" s="91">
        <v>36500000</v>
      </c>
      <c r="M119" s="90" t="s">
        <v>264</v>
      </c>
      <c r="N119" s="91">
        <v>56500000</v>
      </c>
      <c r="O119" s="90" t="s">
        <v>264</v>
      </c>
      <c r="P119" s="91">
        <v>76500000</v>
      </c>
      <c r="Q119" s="3" t="s">
        <v>264</v>
      </c>
      <c r="R119" s="89">
        <v>96500000</v>
      </c>
      <c r="S119" s="3" t="s">
        <v>264</v>
      </c>
      <c r="T119" s="89">
        <v>96500000</v>
      </c>
      <c r="U119" s="86" t="s">
        <v>269</v>
      </c>
      <c r="V119" s="3" t="s">
        <v>23</v>
      </c>
    </row>
    <row r="120" spans="2:22" ht="21" x14ac:dyDescent="0.2">
      <c r="B120" s="75"/>
      <c r="C120" s="4"/>
      <c r="D120" s="239" t="s">
        <v>72</v>
      </c>
      <c r="E120" s="81" t="s">
        <v>291</v>
      </c>
      <c r="F120" s="81" t="s">
        <v>74</v>
      </c>
      <c r="G120" s="81"/>
      <c r="H120" s="82">
        <f>SUM(H121:H123)</f>
        <v>392243000</v>
      </c>
      <c r="I120" s="83">
        <v>1</v>
      </c>
      <c r="J120" s="84">
        <f t="shared" ref="J120:R120" si="15">SUM(J121:J123)</f>
        <v>392243000</v>
      </c>
      <c r="K120" s="83">
        <v>1</v>
      </c>
      <c r="L120" s="84">
        <f t="shared" si="15"/>
        <v>452243000</v>
      </c>
      <c r="M120" s="83">
        <v>1</v>
      </c>
      <c r="N120" s="84">
        <f t="shared" si="15"/>
        <v>512243000</v>
      </c>
      <c r="O120" s="83">
        <v>1</v>
      </c>
      <c r="P120" s="84">
        <f t="shared" si="15"/>
        <v>572243000</v>
      </c>
      <c r="Q120" s="85">
        <v>1</v>
      </c>
      <c r="R120" s="82">
        <f t="shared" si="15"/>
        <v>632243000</v>
      </c>
      <c r="S120" s="85">
        <v>1</v>
      </c>
      <c r="T120" s="82">
        <f t="shared" ref="T120" si="16">SUM(T121:T123)</f>
        <v>632243000</v>
      </c>
      <c r="U120" s="86" t="s">
        <v>269</v>
      </c>
      <c r="V120" s="3"/>
    </row>
    <row r="121" spans="2:22" ht="22.5" x14ac:dyDescent="0.2">
      <c r="B121" s="75"/>
      <c r="C121" s="4"/>
      <c r="D121" s="239" t="s">
        <v>82</v>
      </c>
      <c r="E121" s="87" t="s">
        <v>292</v>
      </c>
      <c r="F121" s="88" t="s">
        <v>84</v>
      </c>
      <c r="G121" s="88"/>
      <c r="H121" s="89">
        <v>296425000</v>
      </c>
      <c r="I121" s="92" t="s">
        <v>263</v>
      </c>
      <c r="J121" s="91">
        <v>296425000</v>
      </c>
      <c r="K121" s="92" t="s">
        <v>263</v>
      </c>
      <c r="L121" s="91">
        <v>316425000</v>
      </c>
      <c r="M121" s="92" t="s">
        <v>263</v>
      </c>
      <c r="N121" s="91">
        <v>336425000</v>
      </c>
      <c r="O121" s="92" t="s">
        <v>263</v>
      </c>
      <c r="P121" s="91">
        <v>356425000</v>
      </c>
      <c r="Q121" s="93" t="s">
        <v>263</v>
      </c>
      <c r="R121" s="89">
        <v>376425000</v>
      </c>
      <c r="S121" s="93" t="s">
        <v>263</v>
      </c>
      <c r="T121" s="89">
        <v>376425000</v>
      </c>
      <c r="U121" s="86" t="s">
        <v>269</v>
      </c>
      <c r="V121" s="3" t="s">
        <v>23</v>
      </c>
    </row>
    <row r="122" spans="2:22" x14ac:dyDescent="0.2">
      <c r="B122" s="75"/>
      <c r="C122" s="4"/>
      <c r="D122" s="239" t="s">
        <v>78</v>
      </c>
      <c r="E122" s="87" t="s">
        <v>293</v>
      </c>
      <c r="F122" s="88" t="s">
        <v>272</v>
      </c>
      <c r="G122" s="88"/>
      <c r="H122" s="89">
        <v>38790000</v>
      </c>
      <c r="I122" s="92" t="s">
        <v>97</v>
      </c>
      <c r="J122" s="91">
        <v>38790000</v>
      </c>
      <c r="K122" s="92" t="s">
        <v>97</v>
      </c>
      <c r="L122" s="91">
        <v>58790000</v>
      </c>
      <c r="M122" s="92" t="s">
        <v>97</v>
      </c>
      <c r="N122" s="91">
        <v>78790000</v>
      </c>
      <c r="O122" s="92" t="s">
        <v>97</v>
      </c>
      <c r="P122" s="91">
        <v>98790000</v>
      </c>
      <c r="Q122" s="93" t="s">
        <v>97</v>
      </c>
      <c r="R122" s="89">
        <v>118790000</v>
      </c>
      <c r="S122" s="93" t="s">
        <v>97</v>
      </c>
      <c r="T122" s="89">
        <v>118790000</v>
      </c>
      <c r="U122" s="86" t="s">
        <v>269</v>
      </c>
      <c r="V122" s="3" t="s">
        <v>23</v>
      </c>
    </row>
    <row r="123" spans="2:22" ht="22.5" x14ac:dyDescent="0.2">
      <c r="B123" s="75"/>
      <c r="C123" s="4"/>
      <c r="D123" s="239" t="s">
        <v>75</v>
      </c>
      <c r="E123" s="87" t="s">
        <v>294</v>
      </c>
      <c r="F123" s="88" t="s">
        <v>77</v>
      </c>
      <c r="G123" s="88"/>
      <c r="H123" s="89">
        <v>57028000</v>
      </c>
      <c r="I123" s="92" t="s">
        <v>97</v>
      </c>
      <c r="J123" s="91">
        <v>57028000</v>
      </c>
      <c r="K123" s="92" t="s">
        <v>97</v>
      </c>
      <c r="L123" s="91">
        <v>77028000</v>
      </c>
      <c r="M123" s="92" t="s">
        <v>97</v>
      </c>
      <c r="N123" s="91">
        <v>97028000</v>
      </c>
      <c r="O123" s="92" t="s">
        <v>97</v>
      </c>
      <c r="P123" s="91">
        <v>117028000</v>
      </c>
      <c r="Q123" s="93" t="s">
        <v>97</v>
      </c>
      <c r="R123" s="89">
        <v>137028000</v>
      </c>
      <c r="S123" s="93" t="s">
        <v>97</v>
      </c>
      <c r="T123" s="89">
        <v>137028000</v>
      </c>
      <c r="U123" s="86" t="s">
        <v>269</v>
      </c>
      <c r="V123" s="3" t="s">
        <v>23</v>
      </c>
    </row>
    <row r="124" spans="2:22" ht="22.5" customHeight="1" x14ac:dyDescent="0.2">
      <c r="B124" s="267" t="s">
        <v>324</v>
      </c>
      <c r="C124" s="267" t="s">
        <v>325</v>
      </c>
      <c r="D124" s="270" t="s">
        <v>310</v>
      </c>
      <c r="E124" s="270" t="s">
        <v>295</v>
      </c>
      <c r="F124" s="81" t="s">
        <v>273</v>
      </c>
      <c r="G124" s="81"/>
      <c r="H124" s="94">
        <f>H127+H130+H134</f>
        <v>1215841826</v>
      </c>
      <c r="I124" s="95">
        <v>1</v>
      </c>
      <c r="J124" s="96">
        <f t="shared" ref="J124:R124" si="17">J127+J130+J134</f>
        <v>1215841826</v>
      </c>
      <c r="K124" s="95">
        <v>1</v>
      </c>
      <c r="L124" s="96">
        <f>L127+L130+L134</f>
        <v>1455841826</v>
      </c>
      <c r="M124" s="95">
        <v>1</v>
      </c>
      <c r="N124" s="96">
        <f t="shared" si="17"/>
        <v>1695841826</v>
      </c>
      <c r="O124" s="95">
        <v>1</v>
      </c>
      <c r="P124" s="96">
        <f t="shared" si="17"/>
        <v>1935841826</v>
      </c>
      <c r="Q124" s="97">
        <v>1</v>
      </c>
      <c r="R124" s="94">
        <f t="shared" si="17"/>
        <v>2175841826</v>
      </c>
      <c r="S124" s="97">
        <v>1</v>
      </c>
      <c r="T124" s="94">
        <f t="shared" ref="T124" si="18">T127+T130+T134</f>
        <v>2175841826</v>
      </c>
      <c r="U124" s="98" t="s">
        <v>269</v>
      </c>
      <c r="V124" s="99" t="s">
        <v>23</v>
      </c>
    </row>
    <row r="125" spans="2:22" x14ac:dyDescent="0.2">
      <c r="B125" s="268"/>
      <c r="C125" s="268"/>
      <c r="D125" s="271"/>
      <c r="E125" s="271"/>
      <c r="F125" s="81" t="s">
        <v>274</v>
      </c>
      <c r="G125" s="81"/>
      <c r="H125" s="94"/>
      <c r="I125" s="95"/>
      <c r="J125" s="96"/>
      <c r="K125" s="95"/>
      <c r="L125" s="96"/>
      <c r="M125" s="95"/>
      <c r="N125" s="96"/>
      <c r="O125" s="95"/>
      <c r="P125" s="96"/>
      <c r="Q125" s="97"/>
      <c r="R125" s="94"/>
      <c r="S125" s="97"/>
      <c r="T125" s="94"/>
      <c r="U125" s="98"/>
      <c r="V125" s="99"/>
    </row>
    <row r="126" spans="2:22" ht="21" x14ac:dyDescent="0.2">
      <c r="B126" s="268"/>
      <c r="C126" s="268"/>
      <c r="D126" s="272"/>
      <c r="E126" s="272"/>
      <c r="F126" s="100" t="s">
        <v>275</v>
      </c>
      <c r="G126" s="100"/>
      <c r="H126" s="94"/>
      <c r="I126" s="95"/>
      <c r="J126" s="96"/>
      <c r="K126" s="95"/>
      <c r="L126" s="96"/>
      <c r="M126" s="95"/>
      <c r="N126" s="96"/>
      <c r="O126" s="95"/>
      <c r="P126" s="96"/>
      <c r="Q126" s="97"/>
      <c r="R126" s="94"/>
      <c r="S126" s="97"/>
      <c r="T126" s="94"/>
      <c r="U126" s="98"/>
      <c r="V126" s="99"/>
    </row>
    <row r="127" spans="2:22" ht="21" x14ac:dyDescent="0.2">
      <c r="B127" s="268"/>
      <c r="C127" s="268"/>
      <c r="D127" s="239" t="s">
        <v>311</v>
      </c>
      <c r="E127" s="81" t="s">
        <v>296</v>
      </c>
      <c r="F127" s="81" t="s">
        <v>276</v>
      </c>
      <c r="G127" s="81"/>
      <c r="H127" s="82">
        <f>SUM(H128:H129)</f>
        <v>334201826</v>
      </c>
      <c r="I127" s="83">
        <v>1</v>
      </c>
      <c r="J127" s="84">
        <f t="shared" ref="J127:R127" si="19">SUM(J128:J129)</f>
        <v>334201826</v>
      </c>
      <c r="K127" s="83">
        <v>1</v>
      </c>
      <c r="L127" s="84">
        <f>SUM(L128:L129)</f>
        <v>394201826</v>
      </c>
      <c r="M127" s="83">
        <v>1</v>
      </c>
      <c r="N127" s="84">
        <f t="shared" si="19"/>
        <v>454201826</v>
      </c>
      <c r="O127" s="83">
        <v>1</v>
      </c>
      <c r="P127" s="84">
        <f t="shared" si="19"/>
        <v>514201826</v>
      </c>
      <c r="Q127" s="85">
        <v>1</v>
      </c>
      <c r="R127" s="82">
        <f t="shared" si="19"/>
        <v>574201826</v>
      </c>
      <c r="S127" s="85">
        <v>1</v>
      </c>
      <c r="T127" s="82">
        <f t="shared" ref="T127" si="20">SUM(T128:T129)</f>
        <v>574201826</v>
      </c>
      <c r="U127" s="86" t="s">
        <v>269</v>
      </c>
      <c r="V127" s="3"/>
    </row>
    <row r="128" spans="2:22" ht="22.5" x14ac:dyDescent="0.2">
      <c r="B128" s="268"/>
      <c r="C128" s="268"/>
      <c r="D128" s="239" t="s">
        <v>312</v>
      </c>
      <c r="E128" s="88" t="s">
        <v>297</v>
      </c>
      <c r="F128" s="88" t="s">
        <v>277</v>
      </c>
      <c r="G128" s="88"/>
      <c r="H128" s="89">
        <v>195000000</v>
      </c>
      <c r="I128" s="90" t="s">
        <v>265</v>
      </c>
      <c r="J128" s="91">
        <v>195000000</v>
      </c>
      <c r="K128" s="90" t="s">
        <v>265</v>
      </c>
      <c r="L128" s="91">
        <v>225000000</v>
      </c>
      <c r="M128" s="90" t="s">
        <v>265</v>
      </c>
      <c r="N128" s="91">
        <v>255000000</v>
      </c>
      <c r="O128" s="90" t="s">
        <v>265</v>
      </c>
      <c r="P128" s="91">
        <v>285000000</v>
      </c>
      <c r="Q128" s="3" t="s">
        <v>265</v>
      </c>
      <c r="R128" s="89">
        <v>315000000</v>
      </c>
      <c r="S128" s="3" t="s">
        <v>265</v>
      </c>
      <c r="T128" s="89">
        <v>315000000</v>
      </c>
      <c r="U128" s="86" t="s">
        <v>269</v>
      </c>
      <c r="V128" s="3" t="s">
        <v>23</v>
      </c>
    </row>
    <row r="129" spans="2:22" ht="22.5" x14ac:dyDescent="0.2">
      <c r="B129" s="268"/>
      <c r="C129" s="268"/>
      <c r="D129" s="239" t="s">
        <v>313</v>
      </c>
      <c r="E129" s="87" t="s">
        <v>298</v>
      </c>
      <c r="F129" s="88" t="s">
        <v>278</v>
      </c>
      <c r="G129" s="88"/>
      <c r="H129" s="89">
        <v>139201826</v>
      </c>
      <c r="I129" s="90" t="s">
        <v>266</v>
      </c>
      <c r="J129" s="91">
        <v>139201826</v>
      </c>
      <c r="K129" s="90" t="s">
        <v>266</v>
      </c>
      <c r="L129" s="91">
        <v>169201826</v>
      </c>
      <c r="M129" s="90" t="s">
        <v>266</v>
      </c>
      <c r="N129" s="91">
        <v>199201826</v>
      </c>
      <c r="O129" s="90" t="s">
        <v>266</v>
      </c>
      <c r="P129" s="91">
        <v>229201826</v>
      </c>
      <c r="Q129" s="3" t="s">
        <v>266</v>
      </c>
      <c r="R129" s="89">
        <v>259201826</v>
      </c>
      <c r="S129" s="3" t="s">
        <v>266</v>
      </c>
      <c r="T129" s="89">
        <v>259201826</v>
      </c>
      <c r="U129" s="86" t="s">
        <v>269</v>
      </c>
      <c r="V129" s="3" t="s">
        <v>23</v>
      </c>
    </row>
    <row r="130" spans="2:22" x14ac:dyDescent="0.2">
      <c r="B130" s="268"/>
      <c r="C130" s="268"/>
      <c r="D130" s="239" t="s">
        <v>314</v>
      </c>
      <c r="E130" s="81" t="s">
        <v>299</v>
      </c>
      <c r="F130" s="81" t="s">
        <v>279</v>
      </c>
      <c r="G130" s="81"/>
      <c r="H130" s="82">
        <f>SUM(H131:H133)</f>
        <v>440000000</v>
      </c>
      <c r="I130" s="83">
        <v>1</v>
      </c>
      <c r="J130" s="84">
        <f t="shared" ref="J130:R130" si="21">SUM(J131:J133)</f>
        <v>440000000</v>
      </c>
      <c r="K130" s="83">
        <v>1</v>
      </c>
      <c r="L130" s="84">
        <f t="shared" si="21"/>
        <v>530000000</v>
      </c>
      <c r="M130" s="83">
        <v>1</v>
      </c>
      <c r="N130" s="84">
        <f t="shared" si="21"/>
        <v>620000000</v>
      </c>
      <c r="O130" s="83">
        <v>1</v>
      </c>
      <c r="P130" s="84">
        <f t="shared" si="21"/>
        <v>710000000</v>
      </c>
      <c r="Q130" s="85">
        <v>1</v>
      </c>
      <c r="R130" s="82">
        <f t="shared" si="21"/>
        <v>800000000</v>
      </c>
      <c r="S130" s="85">
        <v>1</v>
      </c>
      <c r="T130" s="82">
        <f t="shared" ref="T130" si="22">SUM(T131:T133)</f>
        <v>800000000</v>
      </c>
      <c r="U130" s="86" t="s">
        <v>269</v>
      </c>
      <c r="V130" s="3"/>
    </row>
    <row r="131" spans="2:22" ht="22.5" x14ac:dyDescent="0.2">
      <c r="B131" s="268"/>
      <c r="C131" s="268"/>
      <c r="D131" s="239" t="s">
        <v>315</v>
      </c>
      <c r="E131" s="88" t="s">
        <v>300</v>
      </c>
      <c r="F131" s="88" t="s">
        <v>280</v>
      </c>
      <c r="G131" s="88"/>
      <c r="H131" s="89">
        <v>201280000</v>
      </c>
      <c r="I131" s="90" t="s">
        <v>267</v>
      </c>
      <c r="J131" s="91">
        <v>201280000</v>
      </c>
      <c r="K131" s="90" t="s">
        <v>267</v>
      </c>
      <c r="L131" s="91">
        <v>231280000</v>
      </c>
      <c r="M131" s="90" t="s">
        <v>267</v>
      </c>
      <c r="N131" s="91">
        <v>261280000</v>
      </c>
      <c r="O131" s="90" t="s">
        <v>267</v>
      </c>
      <c r="P131" s="91">
        <v>291280000</v>
      </c>
      <c r="Q131" s="3" t="s">
        <v>267</v>
      </c>
      <c r="R131" s="89">
        <v>321280000</v>
      </c>
      <c r="S131" s="3" t="s">
        <v>267</v>
      </c>
      <c r="T131" s="89">
        <v>321280000</v>
      </c>
      <c r="U131" s="86" t="s">
        <v>269</v>
      </c>
      <c r="V131" s="3" t="s">
        <v>23</v>
      </c>
    </row>
    <row r="132" spans="2:22" ht="22.5" x14ac:dyDescent="0.2">
      <c r="B132" s="268"/>
      <c r="C132" s="268"/>
      <c r="D132" s="239" t="s">
        <v>316</v>
      </c>
      <c r="E132" s="87" t="s">
        <v>301</v>
      </c>
      <c r="F132" s="88" t="s">
        <v>281</v>
      </c>
      <c r="G132" s="88"/>
      <c r="H132" s="89">
        <v>104360000</v>
      </c>
      <c r="I132" s="90" t="s">
        <v>268</v>
      </c>
      <c r="J132" s="91">
        <v>104360000</v>
      </c>
      <c r="K132" s="90" t="s">
        <v>268</v>
      </c>
      <c r="L132" s="91">
        <v>134360000</v>
      </c>
      <c r="M132" s="90" t="s">
        <v>268</v>
      </c>
      <c r="N132" s="91">
        <v>164360000</v>
      </c>
      <c r="O132" s="90" t="s">
        <v>268</v>
      </c>
      <c r="P132" s="91">
        <v>194360000</v>
      </c>
      <c r="Q132" s="3" t="s">
        <v>268</v>
      </c>
      <c r="R132" s="89">
        <v>224360000</v>
      </c>
      <c r="S132" s="3" t="s">
        <v>268</v>
      </c>
      <c r="T132" s="89">
        <v>224360000</v>
      </c>
      <c r="U132" s="86" t="s">
        <v>269</v>
      </c>
      <c r="V132" s="3" t="s">
        <v>23</v>
      </c>
    </row>
    <row r="133" spans="2:22" ht="22.5" x14ac:dyDescent="0.2">
      <c r="B133" s="268"/>
      <c r="C133" s="268"/>
      <c r="D133" s="239" t="s">
        <v>317</v>
      </c>
      <c r="E133" s="87" t="s">
        <v>302</v>
      </c>
      <c r="F133" s="88" t="s">
        <v>282</v>
      </c>
      <c r="G133" s="88"/>
      <c r="H133" s="89">
        <v>134360000</v>
      </c>
      <c r="I133" s="90" t="s">
        <v>266</v>
      </c>
      <c r="J133" s="91">
        <v>134360000</v>
      </c>
      <c r="K133" s="90" t="s">
        <v>266</v>
      </c>
      <c r="L133" s="91">
        <v>164360000</v>
      </c>
      <c r="M133" s="90" t="s">
        <v>266</v>
      </c>
      <c r="N133" s="91">
        <v>194360000</v>
      </c>
      <c r="O133" s="90" t="s">
        <v>266</v>
      </c>
      <c r="P133" s="91">
        <v>224360000</v>
      </c>
      <c r="Q133" s="3" t="s">
        <v>266</v>
      </c>
      <c r="R133" s="89">
        <v>254360000</v>
      </c>
      <c r="S133" s="3" t="s">
        <v>266</v>
      </c>
      <c r="T133" s="89">
        <v>254360000</v>
      </c>
      <c r="U133" s="86" t="s">
        <v>269</v>
      </c>
      <c r="V133" s="3" t="s">
        <v>23</v>
      </c>
    </row>
    <row r="134" spans="2:22" ht="21" x14ac:dyDescent="0.2">
      <c r="B134" s="268"/>
      <c r="C134" s="268"/>
      <c r="D134" s="239" t="s">
        <v>318</v>
      </c>
      <c r="E134" s="81" t="s">
        <v>303</v>
      </c>
      <c r="F134" s="81" t="s">
        <v>283</v>
      </c>
      <c r="G134" s="81"/>
      <c r="H134" s="82">
        <f>SUM(H135:H137)</f>
        <v>441640000</v>
      </c>
      <c r="I134" s="83">
        <v>1</v>
      </c>
      <c r="J134" s="84">
        <f t="shared" ref="J134:R134" si="23">SUM(J135:J137)</f>
        <v>441640000</v>
      </c>
      <c r="K134" s="83">
        <v>1</v>
      </c>
      <c r="L134" s="84">
        <f t="shared" si="23"/>
        <v>531640000</v>
      </c>
      <c r="M134" s="83">
        <v>1</v>
      </c>
      <c r="N134" s="84">
        <f t="shared" si="23"/>
        <v>621640000</v>
      </c>
      <c r="O134" s="83">
        <v>1</v>
      </c>
      <c r="P134" s="84">
        <f t="shared" si="23"/>
        <v>711640000</v>
      </c>
      <c r="Q134" s="85">
        <v>1</v>
      </c>
      <c r="R134" s="82">
        <f t="shared" si="23"/>
        <v>801640000</v>
      </c>
      <c r="S134" s="85">
        <v>1</v>
      </c>
      <c r="T134" s="82">
        <f t="shared" ref="T134" si="24">SUM(T135:T137)</f>
        <v>801640000</v>
      </c>
      <c r="U134" s="86" t="s">
        <v>269</v>
      </c>
      <c r="V134" s="3"/>
    </row>
    <row r="135" spans="2:22" ht="33.75" x14ac:dyDescent="0.2">
      <c r="B135" s="268"/>
      <c r="C135" s="268"/>
      <c r="D135" s="239" t="s">
        <v>319</v>
      </c>
      <c r="E135" s="87" t="s">
        <v>304</v>
      </c>
      <c r="F135" s="88" t="s">
        <v>284</v>
      </c>
      <c r="G135" s="88"/>
      <c r="H135" s="89">
        <v>205360000</v>
      </c>
      <c r="I135" s="90" t="s">
        <v>267</v>
      </c>
      <c r="J135" s="91">
        <v>205360000</v>
      </c>
      <c r="K135" s="90" t="s">
        <v>267</v>
      </c>
      <c r="L135" s="91">
        <v>235360000</v>
      </c>
      <c r="M135" s="90" t="s">
        <v>267</v>
      </c>
      <c r="N135" s="91">
        <v>265360000</v>
      </c>
      <c r="O135" s="90" t="s">
        <v>267</v>
      </c>
      <c r="P135" s="91">
        <v>295360000</v>
      </c>
      <c r="Q135" s="3" t="s">
        <v>267</v>
      </c>
      <c r="R135" s="89">
        <v>325360000</v>
      </c>
      <c r="S135" s="3" t="s">
        <v>267</v>
      </c>
      <c r="T135" s="89">
        <v>325360000</v>
      </c>
      <c r="U135" s="86" t="s">
        <v>269</v>
      </c>
      <c r="V135" s="3" t="s">
        <v>23</v>
      </c>
    </row>
    <row r="136" spans="2:22" ht="33.75" x14ac:dyDescent="0.2">
      <c r="B136" s="268"/>
      <c r="C136" s="268"/>
      <c r="D136" s="239" t="s">
        <v>320</v>
      </c>
      <c r="E136" s="87" t="s">
        <v>305</v>
      </c>
      <c r="F136" s="88" t="s">
        <v>285</v>
      </c>
      <c r="G136" s="88"/>
      <c r="H136" s="89">
        <v>95000000</v>
      </c>
      <c r="I136" s="90" t="s">
        <v>266</v>
      </c>
      <c r="J136" s="91">
        <v>95000000</v>
      </c>
      <c r="K136" s="90" t="s">
        <v>266</v>
      </c>
      <c r="L136" s="91">
        <v>125000000</v>
      </c>
      <c r="M136" s="90" t="s">
        <v>266</v>
      </c>
      <c r="N136" s="91">
        <v>155000000</v>
      </c>
      <c r="O136" s="90" t="s">
        <v>266</v>
      </c>
      <c r="P136" s="91">
        <v>185000000</v>
      </c>
      <c r="Q136" s="3" t="s">
        <v>266</v>
      </c>
      <c r="R136" s="89">
        <v>215000000</v>
      </c>
      <c r="S136" s="3" t="s">
        <v>266</v>
      </c>
      <c r="T136" s="89">
        <v>215000000</v>
      </c>
      <c r="U136" s="86" t="s">
        <v>269</v>
      </c>
      <c r="V136" s="3" t="s">
        <v>23</v>
      </c>
    </row>
    <row r="137" spans="2:22" ht="33.75" x14ac:dyDescent="0.2">
      <c r="B137" s="269"/>
      <c r="C137" s="269"/>
      <c r="D137" s="239" t="s">
        <v>321</v>
      </c>
      <c r="E137" s="88" t="s">
        <v>306</v>
      </c>
      <c r="F137" s="88" t="s">
        <v>286</v>
      </c>
      <c r="G137" s="88"/>
      <c r="H137" s="89">
        <v>141280000</v>
      </c>
      <c r="I137" s="90" t="s">
        <v>268</v>
      </c>
      <c r="J137" s="91">
        <v>141280000</v>
      </c>
      <c r="K137" s="90" t="s">
        <v>268</v>
      </c>
      <c r="L137" s="91">
        <v>171280000</v>
      </c>
      <c r="M137" s="90" t="s">
        <v>268</v>
      </c>
      <c r="N137" s="91">
        <v>201280000</v>
      </c>
      <c r="O137" s="90" t="s">
        <v>268</v>
      </c>
      <c r="P137" s="91">
        <v>231280000</v>
      </c>
      <c r="Q137" s="3" t="s">
        <v>268</v>
      </c>
      <c r="R137" s="89">
        <v>261280000</v>
      </c>
      <c r="S137" s="3" t="s">
        <v>268</v>
      </c>
      <c r="T137" s="89">
        <v>261280000</v>
      </c>
      <c r="U137" s="86" t="s">
        <v>269</v>
      </c>
      <c r="V137" s="3" t="s">
        <v>23</v>
      </c>
    </row>
    <row r="139" spans="2:22" ht="42" customHeight="1" x14ac:dyDescent="0.2">
      <c r="B139" s="102" t="s">
        <v>393</v>
      </c>
      <c r="C139" s="328" t="s">
        <v>394</v>
      </c>
      <c r="D139" s="104" t="s">
        <v>152</v>
      </c>
      <c r="E139" s="105" t="s">
        <v>287</v>
      </c>
      <c r="F139" s="331" t="s">
        <v>335</v>
      </c>
      <c r="G139" s="106">
        <f>G156+G154+G148+G146+G140</f>
        <v>1514669873</v>
      </c>
      <c r="H139" s="106"/>
      <c r="I139" s="332">
        <v>1</v>
      </c>
      <c r="J139" s="106">
        <f>J140+J144+J146+J148+J154+J156</f>
        <v>1478054326</v>
      </c>
      <c r="K139" s="107">
        <v>1</v>
      </c>
      <c r="L139" s="106">
        <f>L140+L144+L146+L148+L154+L156</f>
        <v>1625859759</v>
      </c>
      <c r="M139" s="107">
        <v>1</v>
      </c>
      <c r="N139" s="106">
        <f>N140+N144+N146+N148+N154+N156</f>
        <v>1789445735</v>
      </c>
      <c r="O139" s="107">
        <v>1</v>
      </c>
      <c r="P139" s="106">
        <f>P140+P144+P146+P148+P154+P156</f>
        <v>1968389309</v>
      </c>
      <c r="Q139" s="107">
        <v>1</v>
      </c>
      <c r="R139" s="106">
        <f>R140+R144+R146+R148+R154+R156</f>
        <v>2165228241</v>
      </c>
      <c r="S139" s="101"/>
      <c r="T139" s="101"/>
      <c r="U139" s="101"/>
      <c r="V139" s="101"/>
    </row>
    <row r="140" spans="2:22" ht="21" x14ac:dyDescent="0.2">
      <c r="B140" s="108"/>
      <c r="C140" s="329"/>
      <c r="D140" s="104" t="s">
        <v>153</v>
      </c>
      <c r="E140" s="110" t="s">
        <v>336</v>
      </c>
      <c r="F140" s="110" t="s">
        <v>337</v>
      </c>
      <c r="G140" s="106">
        <f>G141+G142+G143</f>
        <v>0</v>
      </c>
      <c r="H140" s="111"/>
      <c r="I140" s="332">
        <v>1</v>
      </c>
      <c r="J140" s="112">
        <f>J141+J142+J143</f>
        <v>55500000</v>
      </c>
      <c r="K140" s="107">
        <v>1</v>
      </c>
      <c r="L140" s="112">
        <f>L141+L142+L143</f>
        <v>61050000</v>
      </c>
      <c r="M140" s="107">
        <v>1</v>
      </c>
      <c r="N140" s="111">
        <f>N141+N142+N143</f>
        <v>68155000</v>
      </c>
      <c r="O140" s="107">
        <v>1</v>
      </c>
      <c r="P140" s="112">
        <f>P141+P142+P143</f>
        <v>74970500</v>
      </c>
      <c r="Q140" s="107">
        <v>1</v>
      </c>
      <c r="R140" s="111">
        <f>R141+R142+R143</f>
        <v>82467550</v>
      </c>
      <c r="S140" s="101"/>
      <c r="T140" s="101"/>
      <c r="U140" s="101"/>
      <c r="V140" s="101"/>
    </row>
    <row r="141" spans="2:22" ht="22.5" x14ac:dyDescent="0.2">
      <c r="B141" s="113"/>
      <c r="C141" s="329"/>
      <c r="D141" s="114" t="s">
        <v>154</v>
      </c>
      <c r="E141" s="115" t="s">
        <v>136</v>
      </c>
      <c r="F141" s="116" t="s">
        <v>338</v>
      </c>
      <c r="G141" s="117">
        <v>0</v>
      </c>
      <c r="H141" s="117">
        <v>0</v>
      </c>
      <c r="I141" s="333" t="s">
        <v>327</v>
      </c>
      <c r="J141" s="119">
        <v>15500000</v>
      </c>
      <c r="K141" s="118" t="s">
        <v>327</v>
      </c>
      <c r="L141" s="119">
        <v>17050000</v>
      </c>
      <c r="M141" s="118" t="s">
        <v>327</v>
      </c>
      <c r="N141" s="119">
        <v>19755000</v>
      </c>
      <c r="O141" s="118" t="s">
        <v>327</v>
      </c>
      <c r="P141" s="119">
        <v>21730500</v>
      </c>
      <c r="Q141" s="118" t="s">
        <v>327</v>
      </c>
      <c r="R141" s="117">
        <v>23903550</v>
      </c>
      <c r="S141" s="101"/>
      <c r="T141" s="101"/>
      <c r="U141" s="101"/>
      <c r="V141" s="101"/>
    </row>
    <row r="142" spans="2:22" ht="33.75" x14ac:dyDescent="0.2">
      <c r="B142" s="113"/>
      <c r="C142" s="329"/>
      <c r="D142" s="114" t="s">
        <v>157</v>
      </c>
      <c r="E142" s="120" t="s">
        <v>339</v>
      </c>
      <c r="F142" s="116" t="s">
        <v>340</v>
      </c>
      <c r="G142" s="117">
        <v>0</v>
      </c>
      <c r="H142" s="121">
        <v>0</v>
      </c>
      <c r="I142" s="333" t="s">
        <v>328</v>
      </c>
      <c r="J142" s="122">
        <v>25000000</v>
      </c>
      <c r="K142" s="118">
        <v>45</v>
      </c>
      <c r="L142" s="122">
        <v>27500000</v>
      </c>
      <c r="M142" s="118">
        <v>45</v>
      </c>
      <c r="N142" s="122">
        <v>30250000</v>
      </c>
      <c r="O142" s="118">
        <v>45</v>
      </c>
      <c r="P142" s="122">
        <v>33275000</v>
      </c>
      <c r="Q142" s="118">
        <v>45</v>
      </c>
      <c r="R142" s="123">
        <v>36602500</v>
      </c>
      <c r="S142" s="101"/>
      <c r="T142" s="101"/>
      <c r="U142" s="101"/>
      <c r="V142" s="101"/>
    </row>
    <row r="143" spans="2:22" x14ac:dyDescent="0.2">
      <c r="B143" s="124"/>
      <c r="C143" s="329"/>
      <c r="D143" s="114" t="s">
        <v>158</v>
      </c>
      <c r="E143" s="115" t="s">
        <v>290</v>
      </c>
      <c r="F143" s="126" t="s">
        <v>341</v>
      </c>
      <c r="G143" s="127">
        <v>0</v>
      </c>
      <c r="H143" s="127">
        <v>0</v>
      </c>
      <c r="I143" s="333" t="s">
        <v>328</v>
      </c>
      <c r="J143" s="127">
        <v>15000000</v>
      </c>
      <c r="K143" s="128">
        <v>45</v>
      </c>
      <c r="L143" s="129">
        <v>16500000</v>
      </c>
      <c r="M143" s="128">
        <v>45</v>
      </c>
      <c r="N143" s="127">
        <v>18150000</v>
      </c>
      <c r="O143" s="128">
        <v>45</v>
      </c>
      <c r="P143" s="127">
        <v>19965000</v>
      </c>
      <c r="Q143" s="128">
        <v>45</v>
      </c>
      <c r="R143" s="127">
        <v>21961500</v>
      </c>
      <c r="S143" s="101"/>
      <c r="T143" s="101"/>
      <c r="U143" s="101"/>
      <c r="V143" s="101"/>
    </row>
    <row r="144" spans="2:22" ht="21" x14ac:dyDescent="0.2">
      <c r="B144" s="130"/>
      <c r="C144" s="329"/>
      <c r="D144" s="104" t="s">
        <v>395</v>
      </c>
      <c r="E144" s="131" t="s">
        <v>342</v>
      </c>
      <c r="F144" s="132" t="s">
        <v>343</v>
      </c>
      <c r="G144" s="133">
        <f>G145</f>
        <v>0</v>
      </c>
      <c r="H144" s="133"/>
      <c r="I144" s="334" t="s">
        <v>329</v>
      </c>
      <c r="J144" s="135">
        <v>20000000</v>
      </c>
      <c r="K144" s="134">
        <v>12</v>
      </c>
      <c r="L144" s="111">
        <v>22000000</v>
      </c>
      <c r="M144" s="134">
        <v>12</v>
      </c>
      <c r="N144" s="135">
        <v>24200000</v>
      </c>
      <c r="O144" s="134">
        <v>12</v>
      </c>
      <c r="P144" s="135">
        <v>26620000</v>
      </c>
      <c r="Q144" s="134">
        <v>12</v>
      </c>
      <c r="R144" s="135">
        <v>29282000</v>
      </c>
      <c r="S144" s="101"/>
      <c r="T144" s="101"/>
      <c r="U144" s="101"/>
      <c r="V144" s="101"/>
    </row>
    <row r="145" spans="2:22" ht="22.5" x14ac:dyDescent="0.2">
      <c r="B145" s="124"/>
      <c r="C145" s="329"/>
      <c r="D145" s="114" t="s">
        <v>396</v>
      </c>
      <c r="E145" s="115" t="s">
        <v>344</v>
      </c>
      <c r="F145" s="136" t="s">
        <v>345</v>
      </c>
      <c r="G145" s="137">
        <v>0</v>
      </c>
      <c r="H145" s="138">
        <v>0</v>
      </c>
      <c r="I145" s="334" t="s">
        <v>329</v>
      </c>
      <c r="J145" s="138">
        <v>20000000</v>
      </c>
      <c r="K145" s="139">
        <v>12</v>
      </c>
      <c r="L145" s="123">
        <v>22000000</v>
      </c>
      <c r="M145" s="139">
        <v>12</v>
      </c>
      <c r="N145" s="138">
        <v>24200000</v>
      </c>
      <c r="O145" s="139">
        <v>12</v>
      </c>
      <c r="P145" s="138">
        <v>26620000</v>
      </c>
      <c r="Q145" s="139">
        <v>12</v>
      </c>
      <c r="R145" s="138">
        <v>29282000</v>
      </c>
      <c r="S145" s="101"/>
      <c r="T145" s="101"/>
      <c r="U145" s="101"/>
      <c r="V145" s="101"/>
    </row>
    <row r="146" spans="2:22" x14ac:dyDescent="0.2">
      <c r="B146" s="130"/>
      <c r="C146" s="329"/>
      <c r="D146" s="104" t="s">
        <v>397</v>
      </c>
      <c r="E146" s="140" t="s">
        <v>346</v>
      </c>
      <c r="F146" s="140" t="s">
        <v>347</v>
      </c>
      <c r="G146" s="133">
        <f>G147</f>
        <v>0</v>
      </c>
      <c r="H146" s="135"/>
      <c r="I146" s="335" t="s">
        <v>330</v>
      </c>
      <c r="J146" s="142">
        <v>15500000</v>
      </c>
      <c r="K146" s="141">
        <v>45</v>
      </c>
      <c r="L146" s="111">
        <v>17050000</v>
      </c>
      <c r="M146" s="141">
        <v>45</v>
      </c>
      <c r="N146" s="135">
        <v>18755000</v>
      </c>
      <c r="O146" s="141">
        <v>45</v>
      </c>
      <c r="P146" s="135">
        <v>20630500</v>
      </c>
      <c r="Q146" s="141">
        <v>45</v>
      </c>
      <c r="R146" s="135">
        <v>22693550</v>
      </c>
      <c r="S146" s="101"/>
      <c r="T146" s="101"/>
      <c r="U146" s="101"/>
      <c r="V146" s="101"/>
    </row>
    <row r="147" spans="2:22" ht="22.5" x14ac:dyDescent="0.2">
      <c r="B147" s="124"/>
      <c r="C147" s="329"/>
      <c r="D147" s="114" t="s">
        <v>398</v>
      </c>
      <c r="E147" s="115" t="s">
        <v>348</v>
      </c>
      <c r="F147" s="115" t="s">
        <v>349</v>
      </c>
      <c r="G147" s="137">
        <v>0</v>
      </c>
      <c r="H147" s="138">
        <v>0</v>
      </c>
      <c r="I147" s="335" t="s">
        <v>330</v>
      </c>
      <c r="J147" s="143">
        <v>15500000</v>
      </c>
      <c r="K147" s="128">
        <v>45</v>
      </c>
      <c r="L147" s="123">
        <v>17050000</v>
      </c>
      <c r="M147" s="128">
        <v>45</v>
      </c>
      <c r="N147" s="138">
        <v>18755000</v>
      </c>
      <c r="O147" s="128">
        <v>45</v>
      </c>
      <c r="P147" s="138">
        <v>20630500</v>
      </c>
      <c r="Q147" s="128">
        <v>45</v>
      </c>
      <c r="R147" s="138">
        <v>22693550</v>
      </c>
      <c r="S147" s="101"/>
      <c r="T147" s="101"/>
      <c r="U147" s="101"/>
      <c r="V147" s="101"/>
    </row>
    <row r="148" spans="2:22" x14ac:dyDescent="0.2">
      <c r="B148" s="143"/>
      <c r="C148" s="329"/>
      <c r="D148" s="144" t="s">
        <v>72</v>
      </c>
      <c r="E148" s="145" t="s">
        <v>350</v>
      </c>
      <c r="F148" s="145" t="s">
        <v>351</v>
      </c>
      <c r="G148" s="146">
        <f>G153+G152+G151+G150+G149</f>
        <v>937448030</v>
      </c>
      <c r="H148" s="146"/>
      <c r="I148" s="332">
        <v>1</v>
      </c>
      <c r="J148" s="147">
        <f>J149+J150+J151+J152+J153</f>
        <v>1288123326</v>
      </c>
      <c r="K148" s="148">
        <v>100</v>
      </c>
      <c r="L148" s="149">
        <f>L149+L150+L151+L152+L153</f>
        <v>1416935659</v>
      </c>
      <c r="M148" s="148">
        <v>100</v>
      </c>
      <c r="N148" s="147">
        <f>N149+N150+N151+N152+N153</f>
        <v>1558629225</v>
      </c>
      <c r="O148" s="148">
        <v>100</v>
      </c>
      <c r="P148" s="147">
        <f>P149+P150+P151+P152+P153</f>
        <v>1714491148</v>
      </c>
      <c r="Q148" s="148">
        <v>100</v>
      </c>
      <c r="R148" s="147">
        <f>R149+R150+R151+R152+R153</f>
        <v>1885940264</v>
      </c>
      <c r="S148" s="101"/>
      <c r="T148" s="101"/>
      <c r="U148" s="101"/>
      <c r="V148" s="101"/>
    </row>
    <row r="149" spans="2:22" ht="22.5" x14ac:dyDescent="0.2">
      <c r="B149" s="113"/>
      <c r="C149" s="329"/>
      <c r="D149" s="114" t="s">
        <v>159</v>
      </c>
      <c r="E149" s="120" t="s">
        <v>294</v>
      </c>
      <c r="F149" s="120" t="s">
        <v>352</v>
      </c>
      <c r="G149" s="117">
        <v>0</v>
      </c>
      <c r="H149" s="123">
        <v>0</v>
      </c>
      <c r="I149" s="336" t="s">
        <v>331</v>
      </c>
      <c r="J149" s="151">
        <v>283015166</v>
      </c>
      <c r="K149" s="150">
        <v>6</v>
      </c>
      <c r="L149" s="151">
        <v>311316683</v>
      </c>
      <c r="M149" s="150">
        <v>6</v>
      </c>
      <c r="N149" s="152">
        <v>342448351</v>
      </c>
      <c r="O149" s="150">
        <v>6</v>
      </c>
      <c r="P149" s="123">
        <v>376693186</v>
      </c>
      <c r="Q149" s="150">
        <v>6</v>
      </c>
      <c r="R149" s="123">
        <v>414362505</v>
      </c>
      <c r="S149" s="101"/>
      <c r="T149" s="101"/>
      <c r="U149" s="101"/>
      <c r="V149" s="101"/>
    </row>
    <row r="150" spans="2:22" x14ac:dyDescent="0.2">
      <c r="B150" s="113"/>
      <c r="C150" s="329"/>
      <c r="D150" s="114" t="s">
        <v>399</v>
      </c>
      <c r="E150" s="120" t="s">
        <v>353</v>
      </c>
      <c r="F150" s="120" t="s">
        <v>354</v>
      </c>
      <c r="G150" s="117">
        <v>0</v>
      </c>
      <c r="H150" s="123">
        <v>0</v>
      </c>
      <c r="I150" s="336" t="s">
        <v>332</v>
      </c>
      <c r="J150" s="151">
        <v>12365000</v>
      </c>
      <c r="K150" s="150">
        <v>4</v>
      </c>
      <c r="L150" s="151">
        <v>13601500</v>
      </c>
      <c r="M150" s="150">
        <v>4</v>
      </c>
      <c r="N150" s="123">
        <v>14961650</v>
      </c>
      <c r="O150" s="150">
        <v>4</v>
      </c>
      <c r="P150" s="123">
        <v>16457815</v>
      </c>
      <c r="Q150" s="153">
        <v>4</v>
      </c>
      <c r="R150" s="123">
        <v>18103597</v>
      </c>
      <c r="S150" s="101"/>
      <c r="T150" s="101"/>
      <c r="U150" s="101"/>
      <c r="V150" s="101"/>
    </row>
    <row r="151" spans="2:22" x14ac:dyDescent="0.2">
      <c r="B151" s="113"/>
      <c r="C151" s="329"/>
      <c r="D151" s="114" t="s">
        <v>160</v>
      </c>
      <c r="E151" s="120" t="s">
        <v>355</v>
      </c>
      <c r="F151" s="120" t="s">
        <v>356</v>
      </c>
      <c r="G151" s="117">
        <v>0</v>
      </c>
      <c r="H151" s="123">
        <v>0</v>
      </c>
      <c r="I151" s="336">
        <v>5</v>
      </c>
      <c r="J151" s="154">
        <v>18647310</v>
      </c>
      <c r="K151" s="150">
        <v>5</v>
      </c>
      <c r="L151" s="123">
        <v>20512041</v>
      </c>
      <c r="M151" s="150">
        <v>5</v>
      </c>
      <c r="N151" s="123">
        <v>22563245</v>
      </c>
      <c r="O151" s="150">
        <v>5</v>
      </c>
      <c r="P151" s="123">
        <v>24818570</v>
      </c>
      <c r="Q151" s="150">
        <v>5</v>
      </c>
      <c r="R151" s="123">
        <v>27300427</v>
      </c>
      <c r="S151" s="101"/>
      <c r="T151" s="101"/>
      <c r="U151" s="101"/>
      <c r="V151" s="101"/>
    </row>
    <row r="152" spans="2:22" ht="22.5" x14ac:dyDescent="0.2">
      <c r="B152" s="113"/>
      <c r="C152" s="329"/>
      <c r="D152" s="114" t="s">
        <v>161</v>
      </c>
      <c r="E152" s="120" t="s">
        <v>292</v>
      </c>
      <c r="F152" s="120" t="s">
        <v>357</v>
      </c>
      <c r="G152" s="117">
        <v>937448030</v>
      </c>
      <c r="H152" s="123"/>
      <c r="I152" s="336" t="s">
        <v>329</v>
      </c>
      <c r="J152" s="123">
        <v>946595850</v>
      </c>
      <c r="K152" s="153">
        <v>12</v>
      </c>
      <c r="L152" s="123">
        <v>1041255435</v>
      </c>
      <c r="M152" s="153">
        <v>12</v>
      </c>
      <c r="N152" s="123">
        <v>1145380979</v>
      </c>
      <c r="O152" s="153">
        <v>12</v>
      </c>
      <c r="P152" s="123">
        <v>1259919077</v>
      </c>
      <c r="Q152" s="153">
        <v>12</v>
      </c>
      <c r="R152" s="123">
        <v>1385910985</v>
      </c>
      <c r="S152" s="101"/>
      <c r="T152" s="101"/>
      <c r="U152" s="101"/>
      <c r="V152" s="101"/>
    </row>
    <row r="153" spans="2:22" x14ac:dyDescent="0.2">
      <c r="B153" s="113"/>
      <c r="C153" s="329"/>
      <c r="D153" s="114" t="s">
        <v>400</v>
      </c>
      <c r="E153" s="120" t="s">
        <v>358</v>
      </c>
      <c r="F153" s="120" t="s">
        <v>359</v>
      </c>
      <c r="G153" s="117">
        <v>0</v>
      </c>
      <c r="H153" s="123">
        <v>0</v>
      </c>
      <c r="I153" s="336" t="s">
        <v>329</v>
      </c>
      <c r="J153" s="123">
        <v>27500000</v>
      </c>
      <c r="K153" s="153">
        <v>12</v>
      </c>
      <c r="L153" s="123">
        <v>30250000</v>
      </c>
      <c r="M153" s="153">
        <v>12</v>
      </c>
      <c r="N153" s="123">
        <v>33275000</v>
      </c>
      <c r="O153" s="153">
        <v>12</v>
      </c>
      <c r="P153" s="123">
        <v>36602500</v>
      </c>
      <c r="Q153" s="153">
        <v>12</v>
      </c>
      <c r="R153" s="123">
        <v>40262750</v>
      </c>
      <c r="S153" s="101"/>
      <c r="T153" s="101"/>
      <c r="U153" s="101"/>
      <c r="V153" s="101"/>
    </row>
    <row r="154" spans="2:22" ht="21" x14ac:dyDescent="0.2">
      <c r="B154" s="113"/>
      <c r="C154" s="329"/>
      <c r="D154" s="104" t="s">
        <v>401</v>
      </c>
      <c r="E154" s="140" t="s">
        <v>360</v>
      </c>
      <c r="F154" s="140" t="s">
        <v>361</v>
      </c>
      <c r="G154" s="106">
        <f>G155</f>
        <v>577221843</v>
      </c>
      <c r="H154" s="123"/>
      <c r="I154" s="336" t="s">
        <v>329</v>
      </c>
      <c r="J154" s="111">
        <v>25000000</v>
      </c>
      <c r="K154" s="155">
        <v>12</v>
      </c>
      <c r="L154" s="111">
        <v>27500000</v>
      </c>
      <c r="M154" s="155">
        <v>12</v>
      </c>
      <c r="N154" s="111">
        <v>30250000</v>
      </c>
      <c r="O154" s="155">
        <v>12</v>
      </c>
      <c r="P154" s="111">
        <v>33275000</v>
      </c>
      <c r="Q154" s="155">
        <v>12</v>
      </c>
      <c r="R154" s="111">
        <v>36602500</v>
      </c>
      <c r="S154" s="101"/>
      <c r="T154" s="101"/>
      <c r="U154" s="101"/>
      <c r="V154" s="101"/>
    </row>
    <row r="155" spans="2:22" x14ac:dyDescent="0.2">
      <c r="B155" s="113"/>
      <c r="C155" s="329"/>
      <c r="D155" s="114" t="s">
        <v>402</v>
      </c>
      <c r="E155" s="120" t="s">
        <v>362</v>
      </c>
      <c r="F155" s="120" t="s">
        <v>363</v>
      </c>
      <c r="G155" s="117">
        <v>577221843</v>
      </c>
      <c r="H155" s="123"/>
      <c r="I155" s="336" t="s">
        <v>329</v>
      </c>
      <c r="J155" s="123">
        <v>25000000</v>
      </c>
      <c r="K155" s="153">
        <v>12</v>
      </c>
      <c r="L155" s="123">
        <v>27500000</v>
      </c>
      <c r="M155" s="153">
        <v>12</v>
      </c>
      <c r="N155" s="123">
        <v>30250000</v>
      </c>
      <c r="O155" s="153">
        <v>12</v>
      </c>
      <c r="P155" s="123">
        <v>33275000</v>
      </c>
      <c r="Q155" s="153">
        <v>12</v>
      </c>
      <c r="R155" s="123">
        <v>36602500</v>
      </c>
      <c r="S155" s="101"/>
      <c r="T155" s="101"/>
      <c r="U155" s="101"/>
      <c r="V155" s="101"/>
    </row>
    <row r="156" spans="2:22" ht="21" x14ac:dyDescent="0.2">
      <c r="B156" s="113"/>
      <c r="C156" s="329"/>
      <c r="D156" s="104" t="s">
        <v>403</v>
      </c>
      <c r="E156" s="105" t="s">
        <v>364</v>
      </c>
      <c r="F156" s="105" t="s">
        <v>365</v>
      </c>
      <c r="G156" s="106">
        <v>0</v>
      </c>
      <c r="H156" s="111">
        <v>0</v>
      </c>
      <c r="I156" s="337" t="s">
        <v>333</v>
      </c>
      <c r="J156" s="111">
        <v>73931000</v>
      </c>
      <c r="K156" s="155">
        <v>90</v>
      </c>
      <c r="L156" s="112">
        <v>81324100</v>
      </c>
      <c r="M156" s="155">
        <v>90</v>
      </c>
      <c r="N156" s="112">
        <v>89456510</v>
      </c>
      <c r="O156" s="155">
        <v>90</v>
      </c>
      <c r="P156" s="112">
        <v>98402161</v>
      </c>
      <c r="Q156" s="155">
        <v>90</v>
      </c>
      <c r="R156" s="112">
        <v>108242377</v>
      </c>
      <c r="S156" s="101"/>
      <c r="T156" s="101"/>
      <c r="U156" s="101"/>
      <c r="V156" s="101"/>
    </row>
    <row r="157" spans="2:22" x14ac:dyDescent="0.2">
      <c r="B157" s="113"/>
      <c r="C157" s="330"/>
      <c r="D157" s="104" t="s">
        <v>404</v>
      </c>
      <c r="E157" s="120" t="s">
        <v>366</v>
      </c>
      <c r="F157" s="120" t="s">
        <v>365</v>
      </c>
      <c r="G157" s="117">
        <v>0</v>
      </c>
      <c r="H157" s="123">
        <v>0</v>
      </c>
      <c r="I157" s="337" t="s">
        <v>333</v>
      </c>
      <c r="J157" s="151">
        <v>73931000</v>
      </c>
      <c r="K157" s="153">
        <v>90</v>
      </c>
      <c r="L157" s="154">
        <v>81324100</v>
      </c>
      <c r="M157" s="153">
        <v>90</v>
      </c>
      <c r="N157" s="122">
        <v>89456510</v>
      </c>
      <c r="O157" s="153">
        <v>90</v>
      </c>
      <c r="P157" s="122">
        <v>98402161</v>
      </c>
      <c r="Q157" s="153">
        <v>90</v>
      </c>
      <c r="R157" s="122">
        <v>108242377</v>
      </c>
      <c r="S157" s="101"/>
      <c r="T157" s="101"/>
      <c r="U157" s="101"/>
      <c r="V157" s="101"/>
    </row>
    <row r="158" spans="2:22" ht="21" x14ac:dyDescent="0.2">
      <c r="B158" s="108"/>
      <c r="C158" s="103" t="s">
        <v>405</v>
      </c>
      <c r="D158" s="104" t="s">
        <v>406</v>
      </c>
      <c r="E158" s="105" t="s">
        <v>367</v>
      </c>
      <c r="F158" s="105" t="s">
        <v>368</v>
      </c>
      <c r="G158" s="106">
        <f>G159+G163+G167</f>
        <v>2524189579</v>
      </c>
      <c r="H158" s="111"/>
      <c r="I158" s="332">
        <v>1</v>
      </c>
      <c r="J158" s="339">
        <f>J159+J163+J167</f>
        <v>2776608537</v>
      </c>
      <c r="K158" s="148">
        <v>100</v>
      </c>
      <c r="L158" s="112">
        <f>L159+L163+L167</f>
        <v>3054269390</v>
      </c>
      <c r="M158" s="148">
        <v>100</v>
      </c>
      <c r="N158" s="112">
        <f>N159+N163+N167</f>
        <v>3359696331</v>
      </c>
      <c r="O158" s="148">
        <v>100</v>
      </c>
      <c r="P158" s="112">
        <f>P159+P163+P167</f>
        <v>3695665965</v>
      </c>
      <c r="Q158" s="148">
        <v>100</v>
      </c>
      <c r="R158" s="112">
        <f>R159+R163+R167</f>
        <v>4065232563</v>
      </c>
      <c r="S158" s="101"/>
      <c r="T158" s="101"/>
      <c r="U158" s="101"/>
      <c r="V158" s="101"/>
    </row>
    <row r="159" spans="2:22" x14ac:dyDescent="0.2">
      <c r="B159" s="108"/>
      <c r="C159" s="109"/>
      <c r="D159" s="104" t="s">
        <v>407</v>
      </c>
      <c r="E159" s="105" t="s">
        <v>369</v>
      </c>
      <c r="F159" s="105" t="s">
        <v>370</v>
      </c>
      <c r="G159" s="106">
        <f>G160+G161+G162</f>
        <v>901559000</v>
      </c>
      <c r="H159" s="111"/>
      <c r="I159" s="332">
        <v>1</v>
      </c>
      <c r="J159" s="111">
        <f>J160+J161+J162</f>
        <v>991714900</v>
      </c>
      <c r="K159" s="148">
        <v>100</v>
      </c>
      <c r="L159" s="111">
        <f>L160+L161+L162</f>
        <v>1090886390</v>
      </c>
      <c r="M159" s="148">
        <v>100</v>
      </c>
      <c r="N159" s="111">
        <f>N160+N161+N162</f>
        <v>1199975030</v>
      </c>
      <c r="O159" s="148">
        <v>100</v>
      </c>
      <c r="P159" s="111">
        <f>P160+P161+P162</f>
        <v>1319972534</v>
      </c>
      <c r="Q159" s="148">
        <v>100</v>
      </c>
      <c r="R159" s="112">
        <f>R160+R161+R162</f>
        <v>1451969788</v>
      </c>
      <c r="S159" s="101"/>
      <c r="T159" s="101"/>
      <c r="U159" s="101"/>
      <c r="V159" s="101"/>
    </row>
    <row r="160" spans="2:22" ht="22.5" x14ac:dyDescent="0.2">
      <c r="B160" s="124"/>
      <c r="C160" s="125"/>
      <c r="D160" s="114" t="s">
        <v>408</v>
      </c>
      <c r="E160" s="120" t="s">
        <v>371</v>
      </c>
      <c r="F160" s="136" t="s">
        <v>372</v>
      </c>
      <c r="G160" s="137">
        <v>207449600</v>
      </c>
      <c r="H160" s="137"/>
      <c r="I160" s="336" t="s">
        <v>329</v>
      </c>
      <c r="J160" s="137">
        <v>228194560</v>
      </c>
      <c r="K160" s="153">
        <v>12</v>
      </c>
      <c r="L160" s="117">
        <v>251014016</v>
      </c>
      <c r="M160" s="153">
        <v>12</v>
      </c>
      <c r="N160" s="137">
        <v>276115418</v>
      </c>
      <c r="O160" s="153">
        <v>12</v>
      </c>
      <c r="P160" s="137">
        <v>303726960</v>
      </c>
      <c r="Q160" s="153">
        <v>12</v>
      </c>
      <c r="R160" s="137">
        <v>334099656</v>
      </c>
      <c r="S160" s="101"/>
      <c r="T160" s="101"/>
      <c r="U160" s="101"/>
      <c r="V160" s="101"/>
    </row>
    <row r="161" spans="2:22" x14ac:dyDescent="0.2">
      <c r="B161" s="113"/>
      <c r="C161" s="109"/>
      <c r="D161" s="114" t="s">
        <v>409</v>
      </c>
      <c r="E161" s="120" t="s">
        <v>373</v>
      </c>
      <c r="F161" s="116" t="s">
        <v>374</v>
      </c>
      <c r="G161" s="117">
        <v>440609900</v>
      </c>
      <c r="H161" s="123"/>
      <c r="I161" s="336" t="s">
        <v>329</v>
      </c>
      <c r="J161" s="123">
        <v>484670890</v>
      </c>
      <c r="K161" s="153">
        <v>12</v>
      </c>
      <c r="L161" s="123">
        <v>533137979</v>
      </c>
      <c r="M161" s="153">
        <v>12</v>
      </c>
      <c r="N161" s="152">
        <v>586451777</v>
      </c>
      <c r="O161" s="153">
        <v>12</v>
      </c>
      <c r="P161" s="123">
        <v>645096955</v>
      </c>
      <c r="Q161" s="153">
        <v>12</v>
      </c>
      <c r="R161" s="123">
        <v>709606651</v>
      </c>
      <c r="S161" s="101"/>
      <c r="T161" s="101"/>
      <c r="U161" s="101"/>
      <c r="V161" s="101"/>
    </row>
    <row r="162" spans="2:22" ht="22.5" x14ac:dyDescent="0.2">
      <c r="B162" s="113"/>
      <c r="C162" s="109"/>
      <c r="D162" s="156" t="s">
        <v>410</v>
      </c>
      <c r="E162" s="156" t="s">
        <v>375</v>
      </c>
      <c r="F162" s="156" t="s">
        <v>376</v>
      </c>
      <c r="G162" s="157">
        <v>253499500</v>
      </c>
      <c r="H162" s="123"/>
      <c r="I162" s="336" t="s">
        <v>329</v>
      </c>
      <c r="J162" s="123">
        <v>278849450</v>
      </c>
      <c r="K162" s="153">
        <v>12</v>
      </c>
      <c r="L162" s="123">
        <v>306734395</v>
      </c>
      <c r="M162" s="153">
        <v>12</v>
      </c>
      <c r="N162" s="123">
        <v>337407835</v>
      </c>
      <c r="O162" s="153">
        <v>12</v>
      </c>
      <c r="P162" s="123">
        <v>371148619</v>
      </c>
      <c r="Q162" s="153">
        <v>12</v>
      </c>
      <c r="R162" s="123">
        <v>408263481</v>
      </c>
      <c r="S162" s="101"/>
      <c r="T162" s="101"/>
      <c r="U162" s="101"/>
      <c r="V162" s="101"/>
    </row>
    <row r="163" spans="2:22" ht="21" x14ac:dyDescent="0.2">
      <c r="B163" s="158"/>
      <c r="C163" s="109"/>
      <c r="D163" s="159" t="s">
        <v>411</v>
      </c>
      <c r="E163" s="159" t="s">
        <v>377</v>
      </c>
      <c r="F163" s="160" t="s">
        <v>378</v>
      </c>
      <c r="G163" s="161">
        <f>G164+G165+G166</f>
        <v>738375600</v>
      </c>
      <c r="H163" s="162"/>
      <c r="I163" s="332">
        <v>1</v>
      </c>
      <c r="J163" s="135">
        <f>J164+J165+J166</f>
        <v>812213160</v>
      </c>
      <c r="K163" s="163">
        <v>100</v>
      </c>
      <c r="L163" s="111">
        <f>L164+L165+L166</f>
        <v>893434476</v>
      </c>
      <c r="M163" s="163">
        <v>100</v>
      </c>
      <c r="N163" s="135">
        <f>N164+N165+N166</f>
        <v>982777924</v>
      </c>
      <c r="O163" s="163">
        <v>100</v>
      </c>
      <c r="P163" s="135">
        <f>P164+P165+P166</f>
        <v>1081055716</v>
      </c>
      <c r="Q163" s="163">
        <v>100</v>
      </c>
      <c r="R163" s="135">
        <f>R164+R165+R166</f>
        <v>1189161288</v>
      </c>
      <c r="S163" s="101"/>
      <c r="T163" s="101"/>
      <c r="U163" s="101"/>
      <c r="V163" s="101"/>
    </row>
    <row r="164" spans="2:22" ht="22.5" x14ac:dyDescent="0.2">
      <c r="B164" s="164"/>
      <c r="C164" s="109"/>
      <c r="D164" s="165" t="s">
        <v>412</v>
      </c>
      <c r="E164" s="165" t="s">
        <v>379</v>
      </c>
      <c r="F164" s="165" t="s">
        <v>380</v>
      </c>
      <c r="G164" s="166">
        <v>410946040</v>
      </c>
      <c r="H164" s="167"/>
      <c r="I164" s="336" t="s">
        <v>329</v>
      </c>
      <c r="J164" s="138">
        <v>452040644</v>
      </c>
      <c r="K164" s="153">
        <v>12</v>
      </c>
      <c r="L164" s="123">
        <v>497244708</v>
      </c>
      <c r="M164" s="153">
        <v>12</v>
      </c>
      <c r="N164" s="138">
        <v>546969179</v>
      </c>
      <c r="O164" s="153">
        <v>12</v>
      </c>
      <c r="P164" s="138">
        <v>601666097</v>
      </c>
      <c r="Q164" s="153">
        <v>12</v>
      </c>
      <c r="R164" s="138">
        <v>661832707</v>
      </c>
      <c r="S164" s="101"/>
      <c r="T164" s="101"/>
      <c r="U164" s="101"/>
      <c r="V164" s="101"/>
    </row>
    <row r="165" spans="2:22" ht="22.5" x14ac:dyDescent="0.2">
      <c r="B165" s="113"/>
      <c r="C165" s="109"/>
      <c r="D165" s="165" t="s">
        <v>413</v>
      </c>
      <c r="E165" s="165" t="s">
        <v>381</v>
      </c>
      <c r="F165" s="168" t="s">
        <v>382</v>
      </c>
      <c r="G165" s="166">
        <v>168716800</v>
      </c>
      <c r="H165" s="138"/>
      <c r="I165" s="336" t="s">
        <v>329</v>
      </c>
      <c r="J165" s="138">
        <v>185588480</v>
      </c>
      <c r="K165" s="153">
        <v>12</v>
      </c>
      <c r="L165" s="123">
        <v>204147328</v>
      </c>
      <c r="M165" s="153">
        <v>12</v>
      </c>
      <c r="N165" s="138">
        <v>224562061</v>
      </c>
      <c r="O165" s="153">
        <v>12</v>
      </c>
      <c r="P165" s="138">
        <v>247018267</v>
      </c>
      <c r="Q165" s="153">
        <v>12</v>
      </c>
      <c r="R165" s="138">
        <v>271720094</v>
      </c>
      <c r="S165" s="101"/>
      <c r="T165" s="101"/>
      <c r="U165" s="101"/>
      <c r="V165" s="101"/>
    </row>
    <row r="166" spans="2:22" ht="22.5" x14ac:dyDescent="0.2">
      <c r="B166" s="113"/>
      <c r="C166" s="109"/>
      <c r="D166" s="165" t="s">
        <v>414</v>
      </c>
      <c r="E166" s="165" t="s">
        <v>383</v>
      </c>
      <c r="F166" s="168" t="s">
        <v>384</v>
      </c>
      <c r="G166" s="166">
        <v>158712760</v>
      </c>
      <c r="H166" s="138"/>
      <c r="I166" s="336" t="s">
        <v>329</v>
      </c>
      <c r="J166" s="138">
        <v>174584036</v>
      </c>
      <c r="K166" s="153">
        <v>12</v>
      </c>
      <c r="L166" s="123">
        <v>192042440</v>
      </c>
      <c r="M166" s="153">
        <v>12</v>
      </c>
      <c r="N166" s="138">
        <v>211246684</v>
      </c>
      <c r="O166" s="153">
        <v>12</v>
      </c>
      <c r="P166" s="138">
        <v>232371352</v>
      </c>
      <c r="Q166" s="153">
        <v>12</v>
      </c>
      <c r="R166" s="138">
        <v>255608487</v>
      </c>
      <c r="S166" s="101"/>
      <c r="T166" s="101"/>
      <c r="U166" s="101"/>
      <c r="V166" s="101"/>
    </row>
    <row r="167" spans="2:22" ht="21" x14ac:dyDescent="0.2">
      <c r="B167" s="113"/>
      <c r="C167" s="109"/>
      <c r="D167" s="159" t="s">
        <v>415</v>
      </c>
      <c r="E167" s="159" t="s">
        <v>385</v>
      </c>
      <c r="F167" s="169" t="s">
        <v>386</v>
      </c>
      <c r="G167" s="161">
        <f>G168+G169+G170</f>
        <v>884254979</v>
      </c>
      <c r="H167" s="135"/>
      <c r="I167" s="332">
        <v>1</v>
      </c>
      <c r="J167" s="135">
        <f>J168+J169+J170</f>
        <v>972680477</v>
      </c>
      <c r="K167" s="163">
        <v>100</v>
      </c>
      <c r="L167" s="111">
        <f>L168+L169+L170</f>
        <v>1069948524</v>
      </c>
      <c r="M167" s="163">
        <v>100</v>
      </c>
      <c r="N167" s="135">
        <f>N168+N169+N170</f>
        <v>1176943377</v>
      </c>
      <c r="O167" s="163">
        <v>100</v>
      </c>
      <c r="P167" s="135">
        <f>P168+P169+P170</f>
        <v>1294637715</v>
      </c>
      <c r="Q167" s="163">
        <v>100</v>
      </c>
      <c r="R167" s="135">
        <f>R168+R169+R170</f>
        <v>1424101487</v>
      </c>
      <c r="S167" s="101"/>
      <c r="T167" s="101"/>
      <c r="U167" s="101"/>
      <c r="V167" s="101"/>
    </row>
    <row r="168" spans="2:22" ht="22.5" x14ac:dyDescent="0.2">
      <c r="B168" s="113"/>
      <c r="C168" s="109"/>
      <c r="D168" s="165" t="s">
        <v>416</v>
      </c>
      <c r="E168" s="165" t="s">
        <v>387</v>
      </c>
      <c r="F168" s="168" t="s">
        <v>388</v>
      </c>
      <c r="G168" s="166">
        <v>203688129</v>
      </c>
      <c r="H168" s="138"/>
      <c r="I168" s="338" t="s">
        <v>334</v>
      </c>
      <c r="J168" s="138">
        <v>224056942</v>
      </c>
      <c r="K168" s="170">
        <v>17</v>
      </c>
      <c r="L168" s="123">
        <v>246462636</v>
      </c>
      <c r="M168" s="170">
        <v>17</v>
      </c>
      <c r="N168" s="138">
        <v>271108900</v>
      </c>
      <c r="O168" s="170">
        <v>17</v>
      </c>
      <c r="P168" s="138">
        <v>298219790</v>
      </c>
      <c r="Q168" s="170">
        <v>17</v>
      </c>
      <c r="R168" s="138">
        <v>328041769</v>
      </c>
      <c r="S168" s="101"/>
      <c r="T168" s="101"/>
      <c r="U168" s="101"/>
      <c r="V168" s="101"/>
    </row>
    <row r="169" spans="2:22" ht="22.5" x14ac:dyDescent="0.2">
      <c r="B169" s="113"/>
      <c r="C169" s="109"/>
      <c r="D169" s="165" t="s">
        <v>417</v>
      </c>
      <c r="E169" s="165" t="s">
        <v>389</v>
      </c>
      <c r="F169" s="168" t="s">
        <v>390</v>
      </c>
      <c r="G169" s="166">
        <v>321578457</v>
      </c>
      <c r="H169" s="138"/>
      <c r="I169" s="333" t="s">
        <v>327</v>
      </c>
      <c r="J169" s="138">
        <v>353736303</v>
      </c>
      <c r="K169" s="118">
        <v>4</v>
      </c>
      <c r="L169" s="123">
        <v>389109933</v>
      </c>
      <c r="M169" s="118">
        <v>4</v>
      </c>
      <c r="N169" s="138">
        <v>428020926</v>
      </c>
      <c r="O169" s="118">
        <v>4</v>
      </c>
      <c r="P169" s="138">
        <v>470823019</v>
      </c>
      <c r="Q169" s="118">
        <v>4</v>
      </c>
      <c r="R169" s="138">
        <v>517905321</v>
      </c>
      <c r="S169" s="101"/>
      <c r="T169" s="101"/>
      <c r="U169" s="101"/>
      <c r="V169" s="101"/>
    </row>
    <row r="170" spans="2:22" ht="22.5" x14ac:dyDescent="0.2">
      <c r="B170" s="113"/>
      <c r="C170" s="109"/>
      <c r="D170" s="165" t="s">
        <v>418</v>
      </c>
      <c r="E170" s="165" t="s">
        <v>391</v>
      </c>
      <c r="F170" s="168" t="s">
        <v>392</v>
      </c>
      <c r="G170" s="166">
        <v>358988393</v>
      </c>
      <c r="H170" s="138"/>
      <c r="I170" s="333" t="s">
        <v>326</v>
      </c>
      <c r="J170" s="138">
        <v>394887232</v>
      </c>
      <c r="K170" s="118">
        <v>4</v>
      </c>
      <c r="L170" s="123">
        <v>434375955</v>
      </c>
      <c r="M170" s="118">
        <v>4</v>
      </c>
      <c r="N170" s="138">
        <v>477813551</v>
      </c>
      <c r="O170" s="118">
        <v>4</v>
      </c>
      <c r="P170" s="138">
        <v>525594906</v>
      </c>
      <c r="Q170" s="118">
        <v>4</v>
      </c>
      <c r="R170" s="138">
        <v>578154397</v>
      </c>
      <c r="S170" s="101"/>
      <c r="T170" s="101"/>
      <c r="U170" s="101"/>
      <c r="V170" s="101"/>
    </row>
    <row r="171" spans="2:22" x14ac:dyDescent="0.2">
      <c r="B171" s="171"/>
      <c r="C171" s="172"/>
      <c r="D171" s="127"/>
      <c r="E171" s="146"/>
      <c r="F171" s="145"/>
      <c r="G171" s="145">
        <f>G158+G139</f>
        <v>4038859452</v>
      </c>
      <c r="H171" s="173"/>
      <c r="I171" s="332">
        <v>1</v>
      </c>
      <c r="J171" s="174">
        <f>J139+J158</f>
        <v>4254662863</v>
      </c>
      <c r="K171" s="163">
        <v>100</v>
      </c>
      <c r="L171" s="149">
        <f>L139+L158</f>
        <v>4680129149</v>
      </c>
      <c r="M171" s="163">
        <v>100</v>
      </c>
      <c r="N171" s="147">
        <f>N139+N158</f>
        <v>5149142066</v>
      </c>
      <c r="O171" s="163">
        <v>100</v>
      </c>
      <c r="P171" s="147">
        <f>P139+P158</f>
        <v>5664055274</v>
      </c>
      <c r="Q171" s="163">
        <v>100</v>
      </c>
      <c r="R171" s="147">
        <f>R139+R158</f>
        <v>6230460804</v>
      </c>
      <c r="S171" s="101"/>
      <c r="T171" s="101"/>
      <c r="U171" s="101"/>
      <c r="V171" s="101"/>
    </row>
    <row r="173" spans="2:22" ht="52.5" customHeight="1" x14ac:dyDescent="0.2">
      <c r="B173" s="248" t="s">
        <v>442</v>
      </c>
      <c r="C173" s="248" t="s">
        <v>66</v>
      </c>
      <c r="D173" s="254" t="s">
        <v>152</v>
      </c>
      <c r="E173" s="254" t="s">
        <v>134</v>
      </c>
      <c r="F173" s="254" t="s">
        <v>443</v>
      </c>
      <c r="G173" s="254" t="s">
        <v>440</v>
      </c>
      <c r="H173" s="99"/>
      <c r="I173" s="254" t="s">
        <v>419</v>
      </c>
      <c r="J173" s="255">
        <v>783890000</v>
      </c>
      <c r="K173" s="254" t="s">
        <v>420</v>
      </c>
      <c r="L173" s="255">
        <v>857250000</v>
      </c>
      <c r="M173" s="254" t="s">
        <v>421</v>
      </c>
      <c r="N173" s="255">
        <v>864750000</v>
      </c>
      <c r="O173" s="254" t="s">
        <v>422</v>
      </c>
      <c r="P173" s="255">
        <v>889550000</v>
      </c>
      <c r="Q173" s="254" t="s">
        <v>423</v>
      </c>
      <c r="R173" s="255">
        <v>879200000</v>
      </c>
      <c r="S173" s="263" t="s">
        <v>368</v>
      </c>
      <c r="T173" s="255">
        <v>879200000</v>
      </c>
      <c r="U173" s="238" t="s">
        <v>495</v>
      </c>
      <c r="V173" s="238" t="s">
        <v>87</v>
      </c>
    </row>
    <row r="174" spans="2:22" x14ac:dyDescent="0.2">
      <c r="B174" s="249"/>
      <c r="C174" s="249"/>
      <c r="D174" s="254"/>
      <c r="E174" s="254"/>
      <c r="F174" s="254" t="s">
        <v>444</v>
      </c>
      <c r="G174" s="254" t="s">
        <v>441</v>
      </c>
      <c r="H174" s="99"/>
      <c r="I174" s="254" t="s">
        <v>424</v>
      </c>
      <c r="J174" s="255"/>
      <c r="K174" s="254" t="s">
        <v>425</v>
      </c>
      <c r="L174" s="255"/>
      <c r="M174" s="254" t="s">
        <v>426</v>
      </c>
      <c r="N174" s="255"/>
      <c r="O174" s="254" t="s">
        <v>427</v>
      </c>
      <c r="P174" s="255"/>
      <c r="Q174" s="254" t="s">
        <v>428</v>
      </c>
      <c r="R174" s="255"/>
      <c r="S174" s="263"/>
      <c r="T174" s="258"/>
      <c r="U174" s="264"/>
      <c r="V174" s="264"/>
    </row>
    <row r="175" spans="2:22" ht="22.5" x14ac:dyDescent="0.2">
      <c r="B175" s="249"/>
      <c r="C175" s="249"/>
      <c r="D175" s="256" t="s">
        <v>153</v>
      </c>
      <c r="E175" s="256" t="s">
        <v>445</v>
      </c>
      <c r="F175" s="256" t="s">
        <v>446</v>
      </c>
      <c r="G175" s="257">
        <v>1</v>
      </c>
      <c r="H175" s="101"/>
      <c r="I175" s="257">
        <v>1</v>
      </c>
      <c r="J175" s="258">
        <v>121700000</v>
      </c>
      <c r="K175" s="257">
        <v>1</v>
      </c>
      <c r="L175" s="258">
        <v>150750000</v>
      </c>
      <c r="M175" s="257">
        <v>1</v>
      </c>
      <c r="N175" s="258">
        <v>151250000</v>
      </c>
      <c r="O175" s="257">
        <v>1</v>
      </c>
      <c r="P175" s="258">
        <v>155550000</v>
      </c>
      <c r="Q175" s="257">
        <v>1</v>
      </c>
      <c r="R175" s="258">
        <v>131450000</v>
      </c>
      <c r="S175" s="257" t="s">
        <v>496</v>
      </c>
      <c r="T175" s="258">
        <v>710700000</v>
      </c>
      <c r="U175" s="264" t="s">
        <v>495</v>
      </c>
      <c r="V175" s="264" t="s">
        <v>87</v>
      </c>
    </row>
    <row r="176" spans="2:22" ht="22.5" x14ac:dyDescent="0.2">
      <c r="B176" s="249"/>
      <c r="C176" s="249"/>
      <c r="D176" s="259" t="s">
        <v>154</v>
      </c>
      <c r="E176" s="259" t="s">
        <v>447</v>
      </c>
      <c r="F176" s="259" t="s">
        <v>115</v>
      </c>
      <c r="G176" s="259" t="s">
        <v>429</v>
      </c>
      <c r="H176" s="101"/>
      <c r="I176" s="259" t="s">
        <v>429</v>
      </c>
      <c r="J176" s="260">
        <v>16500000</v>
      </c>
      <c r="K176" s="259" t="s">
        <v>429</v>
      </c>
      <c r="L176" s="260">
        <v>16750000</v>
      </c>
      <c r="M176" s="259" t="s">
        <v>429</v>
      </c>
      <c r="N176" s="260">
        <v>16750000</v>
      </c>
      <c r="O176" s="259" t="s">
        <v>429</v>
      </c>
      <c r="P176" s="260">
        <v>16850000</v>
      </c>
      <c r="Q176" s="259" t="s">
        <v>429</v>
      </c>
      <c r="R176" s="260">
        <v>16950000</v>
      </c>
      <c r="S176" s="259" t="s">
        <v>429</v>
      </c>
      <c r="T176" s="260">
        <v>83800000</v>
      </c>
      <c r="U176" s="264" t="s">
        <v>495</v>
      </c>
      <c r="V176" s="264" t="s">
        <v>87</v>
      </c>
    </row>
    <row r="177" spans="2:22" ht="22.5" x14ac:dyDescent="0.2">
      <c r="B177" s="249"/>
      <c r="C177" s="249"/>
      <c r="D177" s="259" t="s">
        <v>155</v>
      </c>
      <c r="E177" s="259" t="s">
        <v>448</v>
      </c>
      <c r="F177" s="259" t="s">
        <v>449</v>
      </c>
      <c r="G177" s="259" t="s">
        <v>430</v>
      </c>
      <c r="H177" s="101"/>
      <c r="I177" s="259" t="s">
        <v>430</v>
      </c>
      <c r="J177" s="260">
        <v>9350000</v>
      </c>
      <c r="K177" s="259" t="s">
        <v>430</v>
      </c>
      <c r="L177" s="260">
        <v>9500000</v>
      </c>
      <c r="M177" s="259" t="s">
        <v>430</v>
      </c>
      <c r="N177" s="260">
        <v>9500000</v>
      </c>
      <c r="O177" s="259" t="s">
        <v>430</v>
      </c>
      <c r="P177" s="260">
        <v>9550000</v>
      </c>
      <c r="Q177" s="259" t="s">
        <v>430</v>
      </c>
      <c r="R177" s="260">
        <v>9750000</v>
      </c>
      <c r="S177" s="259" t="s">
        <v>430</v>
      </c>
      <c r="T177" s="260">
        <v>47650000</v>
      </c>
      <c r="U177" s="264" t="s">
        <v>495</v>
      </c>
      <c r="V177" s="264" t="s">
        <v>87</v>
      </c>
    </row>
    <row r="178" spans="2:22" ht="22.5" x14ac:dyDescent="0.2">
      <c r="B178" s="249"/>
      <c r="C178" s="249"/>
      <c r="D178" s="259" t="s">
        <v>450</v>
      </c>
      <c r="E178" s="259" t="s">
        <v>451</v>
      </c>
      <c r="F178" s="259" t="s">
        <v>452</v>
      </c>
      <c r="G178" s="259" t="s">
        <v>430</v>
      </c>
      <c r="H178" s="101"/>
      <c r="I178" s="259" t="s">
        <v>430</v>
      </c>
      <c r="J178" s="260">
        <v>9350000</v>
      </c>
      <c r="K178" s="259" t="s">
        <v>430</v>
      </c>
      <c r="L178" s="260">
        <v>9500000</v>
      </c>
      <c r="M178" s="259" t="s">
        <v>430</v>
      </c>
      <c r="N178" s="260">
        <v>9500000</v>
      </c>
      <c r="O178" s="259" t="s">
        <v>430</v>
      </c>
      <c r="P178" s="260">
        <v>9550000</v>
      </c>
      <c r="Q178" s="259" t="s">
        <v>430</v>
      </c>
      <c r="R178" s="260">
        <v>9750000</v>
      </c>
      <c r="S178" s="259" t="s">
        <v>430</v>
      </c>
      <c r="T178" s="260">
        <v>47650000</v>
      </c>
      <c r="U178" s="264" t="s">
        <v>495</v>
      </c>
      <c r="V178" s="264" t="s">
        <v>87</v>
      </c>
    </row>
    <row r="179" spans="2:22" ht="22.5" x14ac:dyDescent="0.2">
      <c r="B179" s="249"/>
      <c r="C179" s="249"/>
      <c r="D179" s="259" t="s">
        <v>156</v>
      </c>
      <c r="E179" s="259" t="s">
        <v>453</v>
      </c>
      <c r="F179" s="259" t="s">
        <v>454</v>
      </c>
      <c r="G179" s="259" t="s">
        <v>430</v>
      </c>
      <c r="H179" s="101"/>
      <c r="I179" s="259" t="s">
        <v>430</v>
      </c>
      <c r="J179" s="260">
        <v>8250000</v>
      </c>
      <c r="K179" s="259" t="s">
        <v>430</v>
      </c>
      <c r="L179" s="260">
        <v>8500000</v>
      </c>
      <c r="M179" s="259" t="s">
        <v>430</v>
      </c>
      <c r="N179" s="260">
        <v>8500000</v>
      </c>
      <c r="O179" s="261">
        <v>0.95</v>
      </c>
      <c r="P179" s="260">
        <v>8550000</v>
      </c>
      <c r="Q179" s="259" t="s">
        <v>430</v>
      </c>
      <c r="R179" s="260">
        <v>8750000</v>
      </c>
      <c r="S179" s="259" t="s">
        <v>430</v>
      </c>
      <c r="T179" s="260">
        <v>42550000</v>
      </c>
      <c r="U179" s="264" t="s">
        <v>495</v>
      </c>
      <c r="V179" s="264" t="s">
        <v>87</v>
      </c>
    </row>
    <row r="180" spans="2:22" ht="22.5" x14ac:dyDescent="0.2">
      <c r="B180" s="249"/>
      <c r="C180" s="249"/>
      <c r="D180" s="259" t="s">
        <v>455</v>
      </c>
      <c r="E180" s="259" t="s">
        <v>456</v>
      </c>
      <c r="F180" s="259" t="s">
        <v>457</v>
      </c>
      <c r="G180" s="259" t="s">
        <v>430</v>
      </c>
      <c r="H180" s="101"/>
      <c r="I180" s="259" t="s">
        <v>430</v>
      </c>
      <c r="J180" s="260">
        <v>8250000</v>
      </c>
      <c r="K180" s="259" t="s">
        <v>430</v>
      </c>
      <c r="L180" s="260">
        <v>8500000</v>
      </c>
      <c r="M180" s="259" t="s">
        <v>430</v>
      </c>
      <c r="N180" s="260">
        <v>8500000</v>
      </c>
      <c r="O180" s="259" t="s">
        <v>430</v>
      </c>
      <c r="P180" s="260">
        <v>8550000</v>
      </c>
      <c r="Q180" s="259" t="s">
        <v>430</v>
      </c>
      <c r="R180" s="260">
        <v>8750000</v>
      </c>
      <c r="S180" s="259" t="s">
        <v>430</v>
      </c>
      <c r="T180" s="260">
        <v>42550000</v>
      </c>
      <c r="U180" s="264" t="s">
        <v>495</v>
      </c>
      <c r="V180" s="264" t="s">
        <v>87</v>
      </c>
    </row>
    <row r="181" spans="2:22" ht="22.5" x14ac:dyDescent="0.2">
      <c r="B181" s="249"/>
      <c r="C181" s="249"/>
      <c r="D181" s="259" t="s">
        <v>158</v>
      </c>
      <c r="E181" s="259" t="s">
        <v>458</v>
      </c>
      <c r="F181" s="259" t="s">
        <v>459</v>
      </c>
      <c r="G181" s="259" t="s">
        <v>431</v>
      </c>
      <c r="H181" s="101"/>
      <c r="I181" s="259" t="s">
        <v>431</v>
      </c>
      <c r="J181" s="260">
        <v>96950000</v>
      </c>
      <c r="K181" s="259" t="s">
        <v>431</v>
      </c>
      <c r="L181" s="260">
        <v>98000000</v>
      </c>
      <c r="M181" s="259" t="s">
        <v>431</v>
      </c>
      <c r="N181" s="260">
        <v>98500000</v>
      </c>
      <c r="O181" s="259" t="s">
        <v>431</v>
      </c>
      <c r="P181" s="260">
        <v>102500000</v>
      </c>
      <c r="Q181" s="259" t="s">
        <v>431</v>
      </c>
      <c r="R181" s="260">
        <v>105750000</v>
      </c>
      <c r="S181" s="259" t="s">
        <v>431</v>
      </c>
      <c r="T181" s="260">
        <v>501700000</v>
      </c>
      <c r="U181" s="264" t="s">
        <v>495</v>
      </c>
      <c r="V181" s="264" t="s">
        <v>87</v>
      </c>
    </row>
    <row r="182" spans="2:22" ht="22.5" x14ac:dyDescent="0.2">
      <c r="B182" s="249"/>
      <c r="C182" s="249"/>
      <c r="D182" s="256" t="s">
        <v>72</v>
      </c>
      <c r="E182" s="256" t="s">
        <v>460</v>
      </c>
      <c r="F182" s="256" t="s">
        <v>461</v>
      </c>
      <c r="G182" s="257">
        <v>1</v>
      </c>
      <c r="H182" s="101"/>
      <c r="I182" s="257">
        <v>1</v>
      </c>
      <c r="J182" s="258">
        <v>615000000</v>
      </c>
      <c r="K182" s="257">
        <v>1</v>
      </c>
      <c r="L182" s="258">
        <v>658000000</v>
      </c>
      <c r="M182" s="257">
        <v>1</v>
      </c>
      <c r="N182" s="258">
        <v>665000000</v>
      </c>
      <c r="O182" s="257">
        <v>1</v>
      </c>
      <c r="P182" s="258">
        <v>685500000</v>
      </c>
      <c r="Q182" s="257">
        <v>1</v>
      </c>
      <c r="R182" s="258">
        <v>698250000</v>
      </c>
      <c r="S182" s="257">
        <v>1</v>
      </c>
      <c r="T182" s="258">
        <v>3321750000</v>
      </c>
      <c r="U182" s="264" t="s">
        <v>495</v>
      </c>
      <c r="V182" s="264" t="s">
        <v>87</v>
      </c>
    </row>
    <row r="183" spans="2:22" ht="22.5" x14ac:dyDescent="0.2">
      <c r="B183" s="249"/>
      <c r="C183" s="249"/>
      <c r="D183" s="259" t="s">
        <v>159</v>
      </c>
      <c r="E183" s="259" t="s">
        <v>76</v>
      </c>
      <c r="F183" s="259" t="s">
        <v>462</v>
      </c>
      <c r="G183" s="259" t="s">
        <v>432</v>
      </c>
      <c r="H183" s="101"/>
      <c r="I183" s="259" t="s">
        <v>432</v>
      </c>
      <c r="J183" s="260">
        <v>71500000</v>
      </c>
      <c r="K183" s="259" t="s">
        <v>432</v>
      </c>
      <c r="L183" s="260">
        <v>73000000</v>
      </c>
      <c r="M183" s="259" t="s">
        <v>432</v>
      </c>
      <c r="N183" s="265">
        <v>74500000</v>
      </c>
      <c r="O183" s="259" t="s">
        <v>432</v>
      </c>
      <c r="P183" s="260">
        <v>75000000</v>
      </c>
      <c r="Q183" s="259" t="s">
        <v>432</v>
      </c>
      <c r="R183" s="260">
        <v>76500000</v>
      </c>
      <c r="S183" s="259" t="s">
        <v>497</v>
      </c>
      <c r="T183" s="260">
        <v>370500000</v>
      </c>
      <c r="U183" s="264" t="s">
        <v>495</v>
      </c>
      <c r="V183" s="264" t="s">
        <v>87</v>
      </c>
    </row>
    <row r="184" spans="2:22" ht="22.5" x14ac:dyDescent="0.2">
      <c r="B184" s="249"/>
      <c r="C184" s="249"/>
      <c r="D184" s="259" t="s">
        <v>160</v>
      </c>
      <c r="E184" s="259" t="s">
        <v>79</v>
      </c>
      <c r="F184" s="259" t="s">
        <v>463</v>
      </c>
      <c r="G184" s="259" t="s">
        <v>433</v>
      </c>
      <c r="H184" s="101"/>
      <c r="I184" s="259" t="s">
        <v>433</v>
      </c>
      <c r="J184" s="260">
        <v>44000000</v>
      </c>
      <c r="K184" s="259" t="s">
        <v>99</v>
      </c>
      <c r="L184" s="260">
        <v>45000000</v>
      </c>
      <c r="M184" s="259" t="s">
        <v>99</v>
      </c>
      <c r="N184" s="260">
        <v>45500000</v>
      </c>
      <c r="O184" s="259" t="s">
        <v>99</v>
      </c>
      <c r="P184" s="260">
        <v>45500000</v>
      </c>
      <c r="Q184" s="259" t="s">
        <v>99</v>
      </c>
      <c r="R184" s="260">
        <v>46750000</v>
      </c>
      <c r="S184" s="259" t="s">
        <v>99</v>
      </c>
      <c r="T184" s="260">
        <v>226750000</v>
      </c>
      <c r="U184" s="264" t="s">
        <v>495</v>
      </c>
      <c r="V184" s="264" t="s">
        <v>87</v>
      </c>
    </row>
    <row r="185" spans="2:22" ht="22.5" x14ac:dyDescent="0.2">
      <c r="B185" s="249"/>
      <c r="C185" s="249"/>
      <c r="D185" s="259" t="s">
        <v>161</v>
      </c>
      <c r="E185" s="259" t="s">
        <v>464</v>
      </c>
      <c r="F185" s="259" t="s">
        <v>84</v>
      </c>
      <c r="G185" s="259" t="s">
        <v>434</v>
      </c>
      <c r="H185" s="101"/>
      <c r="I185" s="259" t="s">
        <v>434</v>
      </c>
      <c r="J185" s="260">
        <v>499500000</v>
      </c>
      <c r="K185" s="259" t="s">
        <v>434</v>
      </c>
      <c r="L185" s="260">
        <v>540000000</v>
      </c>
      <c r="M185" s="259" t="s">
        <v>434</v>
      </c>
      <c r="N185" s="260">
        <v>545000000</v>
      </c>
      <c r="O185" s="259" t="s">
        <v>435</v>
      </c>
      <c r="P185" s="260">
        <v>565000000</v>
      </c>
      <c r="Q185" s="259" t="s">
        <v>436</v>
      </c>
      <c r="R185" s="260">
        <v>575000000</v>
      </c>
      <c r="S185" s="259" t="s">
        <v>498</v>
      </c>
      <c r="T185" s="260">
        <v>2724500000</v>
      </c>
      <c r="U185" s="264" t="s">
        <v>495</v>
      </c>
      <c r="V185" s="264" t="s">
        <v>87</v>
      </c>
    </row>
    <row r="186" spans="2:22" ht="22.5" x14ac:dyDescent="0.2">
      <c r="B186" s="249"/>
      <c r="C186" s="249"/>
      <c r="D186" s="256" t="s">
        <v>401</v>
      </c>
      <c r="E186" s="256" t="s">
        <v>465</v>
      </c>
      <c r="F186" s="256" t="s">
        <v>466</v>
      </c>
      <c r="G186" s="257">
        <v>1</v>
      </c>
      <c r="H186" s="101"/>
      <c r="I186" s="257">
        <v>1</v>
      </c>
      <c r="J186" s="258">
        <v>47190000</v>
      </c>
      <c r="K186" s="257">
        <v>1</v>
      </c>
      <c r="L186" s="258">
        <v>48500000</v>
      </c>
      <c r="M186" s="257">
        <v>1</v>
      </c>
      <c r="N186" s="258">
        <v>48500000</v>
      </c>
      <c r="O186" s="257">
        <v>1</v>
      </c>
      <c r="P186" s="258">
        <v>48500000</v>
      </c>
      <c r="Q186" s="257">
        <v>1</v>
      </c>
      <c r="R186" s="258">
        <v>49500000</v>
      </c>
      <c r="S186" s="257">
        <v>1</v>
      </c>
      <c r="T186" s="258">
        <v>242190000</v>
      </c>
      <c r="U186" s="264" t="s">
        <v>495</v>
      </c>
      <c r="V186" s="264" t="s">
        <v>87</v>
      </c>
    </row>
    <row r="187" spans="2:22" ht="22.5" x14ac:dyDescent="0.2">
      <c r="B187" s="249"/>
      <c r="C187" s="249"/>
      <c r="D187" s="259" t="s">
        <v>467</v>
      </c>
      <c r="E187" s="259" t="s">
        <v>468</v>
      </c>
      <c r="F187" s="259" t="s">
        <v>469</v>
      </c>
      <c r="G187" s="259" t="s">
        <v>431</v>
      </c>
      <c r="H187" s="101"/>
      <c r="I187" s="259" t="s">
        <v>431</v>
      </c>
      <c r="J187" s="260">
        <v>47190000</v>
      </c>
      <c r="K187" s="259" t="s">
        <v>431</v>
      </c>
      <c r="L187" s="260">
        <v>48500000</v>
      </c>
      <c r="M187" s="259" t="s">
        <v>431</v>
      </c>
      <c r="N187" s="260">
        <v>48500000</v>
      </c>
      <c r="O187" s="259" t="s">
        <v>431</v>
      </c>
      <c r="P187" s="260">
        <v>48500000</v>
      </c>
      <c r="Q187" s="259" t="s">
        <v>431</v>
      </c>
      <c r="R187" s="260">
        <v>49500000</v>
      </c>
      <c r="S187" s="259" t="s">
        <v>431</v>
      </c>
      <c r="T187" s="260">
        <v>242190000</v>
      </c>
      <c r="U187" s="264" t="s">
        <v>495</v>
      </c>
      <c r="V187" s="264" t="s">
        <v>87</v>
      </c>
    </row>
    <row r="188" spans="2:22" ht="22.5" x14ac:dyDescent="0.2">
      <c r="B188" s="249"/>
      <c r="C188" s="249"/>
      <c r="D188" s="256" t="s">
        <v>470</v>
      </c>
      <c r="E188" s="256" t="s">
        <v>471</v>
      </c>
      <c r="F188" s="259" t="s">
        <v>472</v>
      </c>
      <c r="G188" s="261">
        <v>1</v>
      </c>
      <c r="H188" s="101"/>
      <c r="I188" s="261" t="s">
        <v>437</v>
      </c>
      <c r="J188" s="260">
        <v>1576000000</v>
      </c>
      <c r="K188" s="259" t="s">
        <v>437</v>
      </c>
      <c r="L188" s="260">
        <v>1645000000</v>
      </c>
      <c r="M188" s="259" t="s">
        <v>437</v>
      </c>
      <c r="N188" s="260">
        <v>1697500000</v>
      </c>
      <c r="O188" s="259" t="s">
        <v>437</v>
      </c>
      <c r="P188" s="260">
        <v>1743000000</v>
      </c>
      <c r="Q188" s="259" t="s">
        <v>437</v>
      </c>
      <c r="R188" s="260">
        <v>1800000000</v>
      </c>
      <c r="S188" s="259" t="s">
        <v>437</v>
      </c>
      <c r="T188" s="260">
        <v>8461500000</v>
      </c>
      <c r="U188" s="264" t="s">
        <v>495</v>
      </c>
      <c r="V188" s="264" t="s">
        <v>87</v>
      </c>
    </row>
    <row r="189" spans="2:22" ht="22.5" x14ac:dyDescent="0.2">
      <c r="B189" s="249"/>
      <c r="C189" s="249"/>
      <c r="D189" s="256" t="s">
        <v>473</v>
      </c>
      <c r="E189" s="256" t="s">
        <v>474</v>
      </c>
      <c r="F189" s="259" t="s">
        <v>475</v>
      </c>
      <c r="G189" s="261">
        <v>1</v>
      </c>
      <c r="H189" s="101"/>
      <c r="I189" s="261">
        <v>1</v>
      </c>
      <c r="J189" s="260">
        <v>796000000</v>
      </c>
      <c r="K189" s="261">
        <v>1</v>
      </c>
      <c r="L189" s="260">
        <v>830000000</v>
      </c>
      <c r="M189" s="261">
        <v>1</v>
      </c>
      <c r="N189" s="260">
        <v>857500000</v>
      </c>
      <c r="O189" s="261">
        <v>1</v>
      </c>
      <c r="P189" s="260">
        <v>880000000</v>
      </c>
      <c r="Q189" s="261">
        <v>1</v>
      </c>
      <c r="R189" s="260">
        <v>917500000</v>
      </c>
      <c r="S189" s="261">
        <v>1</v>
      </c>
      <c r="T189" s="260">
        <v>4281000000</v>
      </c>
      <c r="U189" s="264" t="s">
        <v>495</v>
      </c>
      <c r="V189" s="264" t="s">
        <v>87</v>
      </c>
    </row>
    <row r="190" spans="2:22" ht="22.5" x14ac:dyDescent="0.2">
      <c r="B190" s="249"/>
      <c r="C190" s="249"/>
      <c r="D190" s="259" t="s">
        <v>476</v>
      </c>
      <c r="E190" s="259" t="s">
        <v>477</v>
      </c>
      <c r="F190" s="259" t="s">
        <v>478</v>
      </c>
      <c r="G190" s="259" t="s">
        <v>431</v>
      </c>
      <c r="H190" s="101"/>
      <c r="I190" s="259" t="s">
        <v>431</v>
      </c>
      <c r="J190" s="260">
        <v>235500000</v>
      </c>
      <c r="K190" s="259" t="s">
        <v>431</v>
      </c>
      <c r="L190" s="260">
        <v>250000000</v>
      </c>
      <c r="M190" s="259" t="s">
        <v>431</v>
      </c>
      <c r="N190" s="260">
        <v>261500000</v>
      </c>
      <c r="O190" s="259" t="s">
        <v>431</v>
      </c>
      <c r="P190" s="260">
        <v>275000000</v>
      </c>
      <c r="Q190" s="259" t="s">
        <v>431</v>
      </c>
      <c r="R190" s="260">
        <v>287500000</v>
      </c>
      <c r="S190" s="259" t="s">
        <v>431</v>
      </c>
      <c r="T190" s="260">
        <v>1309500000</v>
      </c>
      <c r="U190" s="264" t="s">
        <v>495</v>
      </c>
      <c r="V190" s="264" t="s">
        <v>87</v>
      </c>
    </row>
    <row r="191" spans="2:22" ht="22.5" x14ac:dyDescent="0.2">
      <c r="B191" s="249"/>
      <c r="C191" s="249"/>
      <c r="D191" s="259" t="s">
        <v>479</v>
      </c>
      <c r="E191" s="259" t="s">
        <v>477</v>
      </c>
      <c r="F191" s="259" t="s">
        <v>480</v>
      </c>
      <c r="G191" s="259" t="s">
        <v>431</v>
      </c>
      <c r="H191" s="101"/>
      <c r="I191" s="259" t="s">
        <v>431</v>
      </c>
      <c r="J191" s="260">
        <v>185500000</v>
      </c>
      <c r="K191" s="259" t="s">
        <v>431</v>
      </c>
      <c r="L191" s="260">
        <v>195000000</v>
      </c>
      <c r="M191" s="259" t="s">
        <v>431</v>
      </c>
      <c r="N191" s="260">
        <v>203500000</v>
      </c>
      <c r="O191" s="259" t="s">
        <v>431</v>
      </c>
      <c r="P191" s="260">
        <v>210000000</v>
      </c>
      <c r="Q191" s="259" t="s">
        <v>431</v>
      </c>
      <c r="R191" s="260">
        <v>215000000</v>
      </c>
      <c r="S191" s="259" t="s">
        <v>431</v>
      </c>
      <c r="T191" s="260">
        <v>1009000000</v>
      </c>
      <c r="U191" s="264" t="s">
        <v>495</v>
      </c>
      <c r="V191" s="264" t="s">
        <v>87</v>
      </c>
    </row>
    <row r="192" spans="2:22" ht="22.5" x14ac:dyDescent="0.2">
      <c r="B192" s="249"/>
      <c r="C192" s="249"/>
      <c r="D192" s="259" t="s">
        <v>481</v>
      </c>
      <c r="E192" s="259" t="s">
        <v>482</v>
      </c>
      <c r="F192" s="259" t="s">
        <v>483</v>
      </c>
      <c r="G192" s="259" t="s">
        <v>431</v>
      </c>
      <c r="H192" s="101"/>
      <c r="I192" s="259" t="s">
        <v>431</v>
      </c>
      <c r="J192" s="260">
        <v>375000000</v>
      </c>
      <c r="K192" s="259" t="s">
        <v>431</v>
      </c>
      <c r="L192" s="260">
        <v>385000000</v>
      </c>
      <c r="M192" s="259" t="s">
        <v>431</v>
      </c>
      <c r="N192" s="260">
        <v>392500000</v>
      </c>
      <c r="O192" s="259" t="s">
        <v>431</v>
      </c>
      <c r="P192" s="260">
        <v>395000000</v>
      </c>
      <c r="Q192" s="259" t="s">
        <v>431</v>
      </c>
      <c r="R192" s="260">
        <v>415000000</v>
      </c>
      <c r="S192" s="259" t="s">
        <v>431</v>
      </c>
      <c r="T192" s="260">
        <v>1962500000</v>
      </c>
      <c r="U192" s="264" t="s">
        <v>495</v>
      </c>
      <c r="V192" s="264" t="s">
        <v>87</v>
      </c>
    </row>
    <row r="193" spans="2:22" ht="22.5" x14ac:dyDescent="0.2">
      <c r="B193" s="249"/>
      <c r="C193" s="249"/>
      <c r="D193" s="256" t="s">
        <v>484</v>
      </c>
      <c r="E193" s="256" t="s">
        <v>485</v>
      </c>
      <c r="F193" s="259" t="s">
        <v>486</v>
      </c>
      <c r="G193" s="257">
        <v>1</v>
      </c>
      <c r="H193" s="101"/>
      <c r="I193" s="257">
        <v>1</v>
      </c>
      <c r="J193" s="258">
        <v>780000000</v>
      </c>
      <c r="K193" s="257">
        <v>1</v>
      </c>
      <c r="L193" s="258">
        <v>815000000</v>
      </c>
      <c r="M193" s="257">
        <v>1</v>
      </c>
      <c r="N193" s="258">
        <v>840000000</v>
      </c>
      <c r="O193" s="257">
        <v>1</v>
      </c>
      <c r="P193" s="258">
        <v>863000000</v>
      </c>
      <c r="Q193" s="257">
        <v>1</v>
      </c>
      <c r="R193" s="258">
        <v>882500000</v>
      </c>
      <c r="S193" s="257">
        <v>1</v>
      </c>
      <c r="T193" s="258">
        <v>4180500000</v>
      </c>
      <c r="U193" s="264" t="s">
        <v>495</v>
      </c>
      <c r="V193" s="264" t="s">
        <v>87</v>
      </c>
    </row>
    <row r="194" spans="2:22" ht="22.5" x14ac:dyDescent="0.2">
      <c r="B194" s="249"/>
      <c r="C194" s="249"/>
      <c r="D194" s="259" t="s">
        <v>487</v>
      </c>
      <c r="E194" s="259" t="s">
        <v>488</v>
      </c>
      <c r="F194" s="259" t="s">
        <v>489</v>
      </c>
      <c r="G194" s="259">
        <v>0</v>
      </c>
      <c r="H194" s="101"/>
      <c r="I194" s="259">
        <v>0</v>
      </c>
      <c r="J194" s="259" t="s">
        <v>210</v>
      </c>
      <c r="K194" s="259">
        <v>0</v>
      </c>
      <c r="L194" s="259" t="s">
        <v>210</v>
      </c>
      <c r="M194" s="259">
        <v>0</v>
      </c>
      <c r="N194" s="259" t="s">
        <v>210</v>
      </c>
      <c r="O194" s="259">
        <v>0</v>
      </c>
      <c r="P194" s="259" t="s">
        <v>210</v>
      </c>
      <c r="Q194" s="259">
        <v>0</v>
      </c>
      <c r="R194" s="259" t="s">
        <v>210</v>
      </c>
      <c r="S194" s="259">
        <v>0</v>
      </c>
      <c r="T194" s="259" t="s">
        <v>210</v>
      </c>
      <c r="U194" s="264" t="s">
        <v>495</v>
      </c>
      <c r="V194" s="264" t="s">
        <v>87</v>
      </c>
    </row>
    <row r="195" spans="2:22" ht="22.5" x14ac:dyDescent="0.2">
      <c r="B195" s="249"/>
      <c r="C195" s="249"/>
      <c r="D195" s="259" t="s">
        <v>490</v>
      </c>
      <c r="E195" s="259" t="s">
        <v>485</v>
      </c>
      <c r="F195" s="259" t="s">
        <v>491</v>
      </c>
      <c r="G195" s="259" t="s">
        <v>439</v>
      </c>
      <c r="H195" s="101"/>
      <c r="I195" s="259" t="s">
        <v>438</v>
      </c>
      <c r="J195" s="260">
        <v>405000000</v>
      </c>
      <c r="K195" s="259" t="s">
        <v>438</v>
      </c>
      <c r="L195" s="260">
        <v>420000000</v>
      </c>
      <c r="M195" s="259" t="s">
        <v>438</v>
      </c>
      <c r="N195" s="260">
        <v>435000000</v>
      </c>
      <c r="O195" s="259" t="s">
        <v>438</v>
      </c>
      <c r="P195" s="260">
        <v>445000000</v>
      </c>
      <c r="Q195" s="259" t="s">
        <v>438</v>
      </c>
      <c r="R195" s="260">
        <v>457500000</v>
      </c>
      <c r="S195" s="259" t="s">
        <v>438</v>
      </c>
      <c r="T195" s="260">
        <v>2162500000</v>
      </c>
      <c r="U195" s="264" t="s">
        <v>495</v>
      </c>
      <c r="V195" s="264" t="s">
        <v>87</v>
      </c>
    </row>
    <row r="196" spans="2:22" ht="22.5" x14ac:dyDescent="0.2">
      <c r="B196" s="249"/>
      <c r="C196" s="249"/>
      <c r="D196" s="259" t="s">
        <v>492</v>
      </c>
      <c r="E196" s="259" t="s">
        <v>493</v>
      </c>
      <c r="F196" s="259" t="s">
        <v>494</v>
      </c>
      <c r="G196" s="259" t="s">
        <v>439</v>
      </c>
      <c r="H196" s="101"/>
      <c r="I196" s="259" t="s">
        <v>439</v>
      </c>
      <c r="J196" s="260">
        <v>375000000</v>
      </c>
      <c r="K196" s="259" t="s">
        <v>439</v>
      </c>
      <c r="L196" s="260">
        <v>395000000</v>
      </c>
      <c r="M196" s="259" t="s">
        <v>439</v>
      </c>
      <c r="N196" s="260">
        <v>405000000</v>
      </c>
      <c r="O196" s="259" t="s">
        <v>439</v>
      </c>
      <c r="P196" s="260">
        <v>418000000</v>
      </c>
      <c r="Q196" s="259" t="s">
        <v>439</v>
      </c>
      <c r="R196" s="260">
        <v>425000000</v>
      </c>
      <c r="S196" s="259" t="s">
        <v>439</v>
      </c>
      <c r="T196" s="259"/>
      <c r="U196" s="264" t="s">
        <v>495</v>
      </c>
      <c r="V196" s="264" t="s">
        <v>87</v>
      </c>
    </row>
    <row r="197" spans="2:22" x14ac:dyDescent="0.2">
      <c r="B197" s="250"/>
      <c r="C197" s="250"/>
      <c r="D197" s="262"/>
      <c r="E197" s="262"/>
      <c r="F197" s="262"/>
      <c r="G197" s="262"/>
      <c r="H197" s="101"/>
      <c r="I197" s="262"/>
      <c r="J197" s="260">
        <v>2359890000</v>
      </c>
      <c r="K197" s="262"/>
      <c r="L197" s="260">
        <v>2502250000</v>
      </c>
      <c r="M197" s="262"/>
      <c r="N197" s="266">
        <v>2562250000</v>
      </c>
      <c r="O197" s="262"/>
      <c r="P197" s="260">
        <v>2632550000</v>
      </c>
      <c r="Q197" s="262"/>
      <c r="R197" s="260">
        <v>2679200000</v>
      </c>
      <c r="S197" s="262"/>
      <c r="T197" s="260">
        <v>9340700000</v>
      </c>
      <c r="U197" s="262"/>
      <c r="V197" s="262"/>
    </row>
    <row r="199" spans="2:22" ht="73.5" customHeight="1" x14ac:dyDescent="0.2">
      <c r="B199" s="248" t="s">
        <v>584</v>
      </c>
      <c r="C199" s="248" t="s">
        <v>585</v>
      </c>
      <c r="D199" s="197">
        <v>0.16737268518518519</v>
      </c>
      <c r="E199" s="205" t="s">
        <v>287</v>
      </c>
      <c r="F199" s="81" t="s">
        <v>537</v>
      </c>
      <c r="G199" s="175" t="s">
        <v>70</v>
      </c>
      <c r="H199" s="188">
        <f>H200+H206+H211</f>
        <v>960000000</v>
      </c>
      <c r="I199" s="175" t="s">
        <v>70</v>
      </c>
      <c r="J199" s="188">
        <f>J200+J206+J211</f>
        <v>1040000000</v>
      </c>
      <c r="K199" s="206" t="s">
        <v>70</v>
      </c>
      <c r="L199" s="188">
        <f>L200+L206+L211</f>
        <v>1060800000</v>
      </c>
      <c r="M199" s="206" t="s">
        <v>70</v>
      </c>
      <c r="N199" s="188">
        <f>N200+N206+N211</f>
        <v>1082016000</v>
      </c>
      <c r="O199" s="206" t="s">
        <v>70</v>
      </c>
      <c r="P199" s="188">
        <f>P200+P206+P211</f>
        <v>1103656320</v>
      </c>
      <c r="Q199" s="206" t="s">
        <v>70</v>
      </c>
      <c r="R199" s="188">
        <f>R200+R206+R211</f>
        <v>1125729446.4000001</v>
      </c>
      <c r="S199" s="176" t="s">
        <v>70</v>
      </c>
      <c r="T199" s="188">
        <f>T200+T206+T211</f>
        <v>1125729446.4000001</v>
      </c>
      <c r="U199" s="175" t="s">
        <v>527</v>
      </c>
      <c r="V199" s="1" t="s">
        <v>87</v>
      </c>
    </row>
    <row r="200" spans="2:22" ht="21" x14ac:dyDescent="0.2">
      <c r="B200" s="249"/>
      <c r="C200" s="249"/>
      <c r="D200" s="1" t="s">
        <v>153</v>
      </c>
      <c r="E200" s="205" t="s">
        <v>559</v>
      </c>
      <c r="F200" s="198" t="s">
        <v>538</v>
      </c>
      <c r="G200" s="191">
        <v>77</v>
      </c>
      <c r="H200" s="188">
        <f>SUM(H201:H205)</f>
        <v>235000000</v>
      </c>
      <c r="I200" s="191" t="s">
        <v>499</v>
      </c>
      <c r="J200" s="188">
        <f>SUM(J201:J205)</f>
        <v>240000000</v>
      </c>
      <c r="K200" s="177" t="s">
        <v>500</v>
      </c>
      <c r="L200" s="188">
        <f>SUM(L201:L205)</f>
        <v>244800000</v>
      </c>
      <c r="M200" s="191" t="s">
        <v>501</v>
      </c>
      <c r="N200" s="188">
        <f>SUM(N201:N205)</f>
        <v>249696000</v>
      </c>
      <c r="O200" s="191" t="s">
        <v>502</v>
      </c>
      <c r="P200" s="188">
        <f>SUM(P201:P205)</f>
        <v>254689920</v>
      </c>
      <c r="Q200" s="191" t="s">
        <v>503</v>
      </c>
      <c r="R200" s="188">
        <f>SUM(R201:R205)</f>
        <v>259783718.39999998</v>
      </c>
      <c r="S200" s="191" t="s">
        <v>503</v>
      </c>
      <c r="T200" s="188">
        <f>SUM(T201:T205)</f>
        <v>259783718.39999998</v>
      </c>
      <c r="U200" s="175"/>
      <c r="V200" s="101"/>
    </row>
    <row r="201" spans="2:22" ht="31.5" x14ac:dyDescent="0.2">
      <c r="B201" s="249"/>
      <c r="C201" s="249"/>
      <c r="D201" s="199" t="s">
        <v>575</v>
      </c>
      <c r="E201" s="200" t="s">
        <v>136</v>
      </c>
      <c r="F201" s="200" t="s">
        <v>115</v>
      </c>
      <c r="G201" s="178">
        <v>4</v>
      </c>
      <c r="H201" s="179">
        <v>105000000</v>
      </c>
      <c r="I201" s="178">
        <v>4</v>
      </c>
      <c r="J201" s="179">
        <v>130000000</v>
      </c>
      <c r="K201" s="178">
        <v>4</v>
      </c>
      <c r="L201" s="180">
        <f>(J201*2%)+J201</f>
        <v>132600000</v>
      </c>
      <c r="M201" s="178">
        <v>4</v>
      </c>
      <c r="N201" s="180">
        <f>(L201*2%)+L201</f>
        <v>135252000</v>
      </c>
      <c r="O201" s="178">
        <v>4</v>
      </c>
      <c r="P201" s="180">
        <f>(N201*2%)+N201</f>
        <v>137957040</v>
      </c>
      <c r="Q201" s="178">
        <v>4</v>
      </c>
      <c r="R201" s="180">
        <f>(P201*2%)+P201</f>
        <v>140716180.80000001</v>
      </c>
      <c r="S201" s="181" t="s">
        <v>180</v>
      </c>
      <c r="T201" s="180">
        <f>R201</f>
        <v>140716180.80000001</v>
      </c>
      <c r="U201" s="175" t="s">
        <v>527</v>
      </c>
      <c r="V201" s="101"/>
    </row>
    <row r="202" spans="2:22" ht="31.5" x14ac:dyDescent="0.2">
      <c r="B202" s="249"/>
      <c r="C202" s="249"/>
      <c r="D202" s="199" t="s">
        <v>576</v>
      </c>
      <c r="E202" s="200" t="s">
        <v>137</v>
      </c>
      <c r="F202" s="200" t="s">
        <v>116</v>
      </c>
      <c r="G202" s="178">
        <v>2</v>
      </c>
      <c r="H202" s="179">
        <v>35000000</v>
      </c>
      <c r="I202" s="178">
        <v>2</v>
      </c>
      <c r="J202" s="179">
        <v>35000000</v>
      </c>
      <c r="K202" s="178">
        <v>2</v>
      </c>
      <c r="L202" s="180">
        <f>(J202*2%)+J202</f>
        <v>35700000</v>
      </c>
      <c r="M202" s="178">
        <v>2</v>
      </c>
      <c r="N202" s="180">
        <f t="shared" ref="N202:N205" si="25">(L202*2%)+L202</f>
        <v>36414000</v>
      </c>
      <c r="O202" s="178">
        <v>2</v>
      </c>
      <c r="P202" s="180">
        <f t="shared" ref="P202:P205" si="26">(N202*2%)+N202</f>
        <v>37142280</v>
      </c>
      <c r="Q202" s="178">
        <v>2</v>
      </c>
      <c r="R202" s="180">
        <f t="shared" ref="R202:R205" si="27">(P202*2%)+P202</f>
        <v>37885125.600000001</v>
      </c>
      <c r="S202" s="181" t="s">
        <v>183</v>
      </c>
      <c r="T202" s="180">
        <f t="shared" ref="T202:T203" si="28">R202</f>
        <v>37885125.600000001</v>
      </c>
      <c r="U202" s="175" t="s">
        <v>527</v>
      </c>
      <c r="V202" s="101"/>
    </row>
    <row r="203" spans="2:22" ht="31.5" x14ac:dyDescent="0.2">
      <c r="B203" s="249"/>
      <c r="C203" s="249"/>
      <c r="D203" s="201" t="s">
        <v>577</v>
      </c>
      <c r="E203" s="200" t="s">
        <v>560</v>
      </c>
      <c r="F203" s="200" t="s">
        <v>117</v>
      </c>
      <c r="G203" s="178">
        <v>2</v>
      </c>
      <c r="H203" s="179">
        <v>30000000</v>
      </c>
      <c r="I203" s="178">
        <v>2</v>
      </c>
      <c r="J203" s="179">
        <v>35000000</v>
      </c>
      <c r="K203" s="178">
        <v>2</v>
      </c>
      <c r="L203" s="180">
        <f t="shared" ref="L203:R212" si="29">(J203*2%)+J203</f>
        <v>35700000</v>
      </c>
      <c r="M203" s="178">
        <v>2</v>
      </c>
      <c r="N203" s="180">
        <f t="shared" si="25"/>
        <v>36414000</v>
      </c>
      <c r="O203" s="178">
        <v>2</v>
      </c>
      <c r="P203" s="180">
        <f t="shared" si="26"/>
        <v>37142280</v>
      </c>
      <c r="Q203" s="178">
        <v>2</v>
      </c>
      <c r="R203" s="180">
        <f t="shared" si="27"/>
        <v>37885125.600000001</v>
      </c>
      <c r="S203" s="181" t="s">
        <v>183</v>
      </c>
      <c r="T203" s="180">
        <f t="shared" si="28"/>
        <v>37885125.600000001</v>
      </c>
      <c r="U203" s="175" t="s">
        <v>527</v>
      </c>
      <c r="V203" s="101"/>
    </row>
    <row r="204" spans="2:22" ht="33.75" x14ac:dyDescent="0.2">
      <c r="B204" s="249"/>
      <c r="C204" s="249"/>
      <c r="D204" s="201" t="s">
        <v>578</v>
      </c>
      <c r="E204" s="88" t="s">
        <v>139</v>
      </c>
      <c r="F204" s="88" t="s">
        <v>118</v>
      </c>
      <c r="G204" s="178">
        <v>4</v>
      </c>
      <c r="H204" s="179">
        <v>45000000</v>
      </c>
      <c r="I204" s="178">
        <v>4</v>
      </c>
      <c r="J204" s="179">
        <v>20000000</v>
      </c>
      <c r="K204" s="178">
        <v>4</v>
      </c>
      <c r="L204" s="180">
        <f t="shared" si="29"/>
        <v>20400000</v>
      </c>
      <c r="M204" s="178">
        <v>4</v>
      </c>
      <c r="N204" s="180">
        <f t="shared" si="25"/>
        <v>20808000</v>
      </c>
      <c r="O204" s="178">
        <v>4</v>
      </c>
      <c r="P204" s="180">
        <f t="shared" si="26"/>
        <v>21224160</v>
      </c>
      <c r="Q204" s="178">
        <v>4</v>
      </c>
      <c r="R204" s="180">
        <f t="shared" si="27"/>
        <v>21648643.199999999</v>
      </c>
      <c r="S204" s="86" t="s">
        <v>528</v>
      </c>
      <c r="T204" s="180">
        <f>R204</f>
        <v>21648643.199999999</v>
      </c>
      <c r="U204" s="175" t="s">
        <v>527</v>
      </c>
      <c r="V204" s="101"/>
    </row>
    <row r="205" spans="2:22" ht="31.5" x14ac:dyDescent="0.2">
      <c r="B205" s="249"/>
      <c r="C205" s="250"/>
      <c r="D205" s="201" t="s">
        <v>579</v>
      </c>
      <c r="E205" s="88" t="s">
        <v>140</v>
      </c>
      <c r="F205" s="88" t="s">
        <v>119</v>
      </c>
      <c r="G205" s="178">
        <v>4</v>
      </c>
      <c r="H205" s="179">
        <v>20000000</v>
      </c>
      <c r="I205" s="178">
        <v>4</v>
      </c>
      <c r="J205" s="179">
        <v>20000000</v>
      </c>
      <c r="K205" s="178">
        <v>4</v>
      </c>
      <c r="L205" s="180">
        <f t="shared" si="29"/>
        <v>20400000</v>
      </c>
      <c r="M205" s="178">
        <v>4</v>
      </c>
      <c r="N205" s="180">
        <f t="shared" si="25"/>
        <v>20808000</v>
      </c>
      <c r="O205" s="178">
        <v>4</v>
      </c>
      <c r="P205" s="180">
        <f t="shared" si="26"/>
        <v>21224160</v>
      </c>
      <c r="Q205" s="178">
        <v>4</v>
      </c>
      <c r="R205" s="180">
        <f t="shared" si="27"/>
        <v>21648643.199999999</v>
      </c>
      <c r="S205" s="86" t="s">
        <v>528</v>
      </c>
      <c r="T205" s="180">
        <f>R205</f>
        <v>21648643.199999999</v>
      </c>
      <c r="U205" s="175" t="s">
        <v>527</v>
      </c>
      <c r="V205" s="101"/>
    </row>
    <row r="206" spans="2:22" ht="31.5" x14ac:dyDescent="0.2">
      <c r="B206" s="249"/>
      <c r="C206" s="248" t="s">
        <v>586</v>
      </c>
      <c r="D206" s="1" t="s">
        <v>72</v>
      </c>
      <c r="E206" s="2" t="s">
        <v>291</v>
      </c>
      <c r="F206" s="81" t="s">
        <v>539</v>
      </c>
      <c r="G206" s="182">
        <v>89</v>
      </c>
      <c r="H206" s="188">
        <f>SUM(H207:H210)</f>
        <v>660000000</v>
      </c>
      <c r="I206" s="182">
        <v>90</v>
      </c>
      <c r="J206" s="188">
        <f>SUM(J207:J210)</f>
        <v>720000000</v>
      </c>
      <c r="K206" s="183" t="s">
        <v>504</v>
      </c>
      <c r="L206" s="188">
        <f>SUM(L207:L210)</f>
        <v>734400000</v>
      </c>
      <c r="M206" s="182" t="s">
        <v>505</v>
      </c>
      <c r="N206" s="188">
        <f>SUM(N207:N210)</f>
        <v>749088000</v>
      </c>
      <c r="O206" s="182" t="s">
        <v>506</v>
      </c>
      <c r="P206" s="188">
        <f>SUM(P207:P210)</f>
        <v>764069760</v>
      </c>
      <c r="Q206" s="182" t="s">
        <v>507</v>
      </c>
      <c r="R206" s="188">
        <f>SUM(R207:R210)</f>
        <v>779351155.20000005</v>
      </c>
      <c r="S206" s="1" t="s">
        <v>529</v>
      </c>
      <c r="T206" s="184">
        <f>R206</f>
        <v>779351155.20000005</v>
      </c>
      <c r="U206" s="175" t="s">
        <v>527</v>
      </c>
      <c r="V206" s="101"/>
    </row>
    <row r="207" spans="2:22" ht="31.5" x14ac:dyDescent="0.2">
      <c r="B207" s="249"/>
      <c r="C207" s="249"/>
      <c r="D207" s="199" t="s">
        <v>576</v>
      </c>
      <c r="E207" s="88" t="s">
        <v>294</v>
      </c>
      <c r="F207" s="202" t="s">
        <v>462</v>
      </c>
      <c r="G207" s="178">
        <v>4</v>
      </c>
      <c r="H207" s="179">
        <v>200000000</v>
      </c>
      <c r="I207" s="178">
        <v>4</v>
      </c>
      <c r="J207" s="179">
        <v>220000000</v>
      </c>
      <c r="K207" s="178">
        <v>4</v>
      </c>
      <c r="L207" s="180">
        <f t="shared" si="29"/>
        <v>224400000</v>
      </c>
      <c r="M207" s="178">
        <v>4</v>
      </c>
      <c r="N207" s="180">
        <f t="shared" si="29"/>
        <v>228888000</v>
      </c>
      <c r="O207" s="178">
        <v>4</v>
      </c>
      <c r="P207" s="180">
        <f t="shared" si="29"/>
        <v>233465760</v>
      </c>
      <c r="Q207" s="178">
        <v>4</v>
      </c>
      <c r="R207" s="180">
        <f t="shared" si="29"/>
        <v>238135075.19999999</v>
      </c>
      <c r="S207" s="86" t="s">
        <v>332</v>
      </c>
      <c r="T207" s="180">
        <f t="shared" ref="T207:T229" si="30">R207</f>
        <v>238135075.19999999</v>
      </c>
      <c r="U207" s="175" t="s">
        <v>527</v>
      </c>
      <c r="V207" s="101"/>
    </row>
    <row r="208" spans="2:22" ht="31.5" x14ac:dyDescent="0.2">
      <c r="B208" s="249"/>
      <c r="C208" s="249"/>
      <c r="D208" s="201" t="s">
        <v>580</v>
      </c>
      <c r="E208" s="207" t="s">
        <v>561</v>
      </c>
      <c r="F208" s="200" t="s">
        <v>540</v>
      </c>
      <c r="G208" s="86">
        <v>2</v>
      </c>
      <c r="H208" s="179">
        <v>35000000</v>
      </c>
      <c r="I208" s="86">
        <v>2</v>
      </c>
      <c r="J208" s="179">
        <v>35000000</v>
      </c>
      <c r="K208" s="86">
        <v>2</v>
      </c>
      <c r="L208" s="180">
        <f t="shared" si="29"/>
        <v>35700000</v>
      </c>
      <c r="M208" s="86">
        <v>2</v>
      </c>
      <c r="N208" s="180">
        <f t="shared" si="29"/>
        <v>36414000</v>
      </c>
      <c r="O208" s="86">
        <v>2</v>
      </c>
      <c r="P208" s="180">
        <f t="shared" si="29"/>
        <v>37142280</v>
      </c>
      <c r="Q208" s="86">
        <v>2</v>
      </c>
      <c r="R208" s="180">
        <f t="shared" si="29"/>
        <v>37885125.600000001</v>
      </c>
      <c r="S208" s="181" t="s">
        <v>99</v>
      </c>
      <c r="T208" s="180">
        <f t="shared" si="30"/>
        <v>37885125.600000001</v>
      </c>
      <c r="U208" s="175" t="s">
        <v>527</v>
      </c>
      <c r="V208" s="101"/>
    </row>
    <row r="209" spans="2:22" ht="31.5" x14ac:dyDescent="0.2">
      <c r="B209" s="249"/>
      <c r="C209" s="249"/>
      <c r="D209" s="201" t="s">
        <v>581</v>
      </c>
      <c r="E209" s="200" t="s">
        <v>293</v>
      </c>
      <c r="F209" s="203" t="s">
        <v>541</v>
      </c>
      <c r="G209" s="178">
        <v>2</v>
      </c>
      <c r="H209" s="185">
        <v>65000000</v>
      </c>
      <c r="I209" s="178">
        <v>2</v>
      </c>
      <c r="J209" s="185">
        <v>65000000</v>
      </c>
      <c r="K209" s="178">
        <v>2</v>
      </c>
      <c r="L209" s="180">
        <f t="shared" si="29"/>
        <v>66300000</v>
      </c>
      <c r="M209" s="178">
        <v>2</v>
      </c>
      <c r="N209" s="180">
        <f t="shared" si="29"/>
        <v>67626000</v>
      </c>
      <c r="O209" s="178">
        <v>2</v>
      </c>
      <c r="P209" s="180">
        <f t="shared" si="29"/>
        <v>68978520</v>
      </c>
      <c r="Q209" s="178">
        <v>2</v>
      </c>
      <c r="R209" s="180">
        <f t="shared" si="29"/>
        <v>70358090.400000006</v>
      </c>
      <c r="S209" s="181" t="s">
        <v>99</v>
      </c>
      <c r="T209" s="180">
        <f t="shared" si="30"/>
        <v>70358090.400000006</v>
      </c>
      <c r="U209" s="175" t="s">
        <v>527</v>
      </c>
      <c r="V209" s="101"/>
    </row>
    <row r="210" spans="2:22" ht="31.5" x14ac:dyDescent="0.2">
      <c r="B210" s="249"/>
      <c r="C210" s="249"/>
      <c r="D210" s="201" t="s">
        <v>582</v>
      </c>
      <c r="E210" s="200" t="s">
        <v>292</v>
      </c>
      <c r="F210" s="203" t="s">
        <v>84</v>
      </c>
      <c r="G210" s="178">
        <v>40</v>
      </c>
      <c r="H210" s="179">
        <v>360000000</v>
      </c>
      <c r="I210" s="178">
        <v>45</v>
      </c>
      <c r="J210" s="179">
        <v>400000000</v>
      </c>
      <c r="K210" s="208">
        <v>50</v>
      </c>
      <c r="L210" s="180">
        <f t="shared" si="29"/>
        <v>408000000</v>
      </c>
      <c r="M210" s="181">
        <v>55</v>
      </c>
      <c r="N210" s="180">
        <f t="shared" si="29"/>
        <v>416160000</v>
      </c>
      <c r="O210" s="178">
        <v>60</v>
      </c>
      <c r="P210" s="180">
        <f t="shared" si="29"/>
        <v>424483200</v>
      </c>
      <c r="Q210" s="178">
        <v>65</v>
      </c>
      <c r="R210" s="180">
        <f t="shared" si="29"/>
        <v>432972864</v>
      </c>
      <c r="S210" s="186" t="s">
        <v>530</v>
      </c>
      <c r="T210" s="180">
        <f t="shared" si="30"/>
        <v>432972864</v>
      </c>
      <c r="U210" s="175" t="s">
        <v>527</v>
      </c>
      <c r="V210" s="101"/>
    </row>
    <row r="211" spans="2:22" ht="31.5" x14ac:dyDescent="0.2">
      <c r="B211" s="249"/>
      <c r="C211" s="249"/>
      <c r="D211" s="1" t="s">
        <v>401</v>
      </c>
      <c r="E211" s="2" t="s">
        <v>562</v>
      </c>
      <c r="F211" s="76" t="s">
        <v>589</v>
      </c>
      <c r="G211" s="182">
        <v>89</v>
      </c>
      <c r="H211" s="188">
        <f>H212</f>
        <v>65000000</v>
      </c>
      <c r="I211" s="182">
        <v>90</v>
      </c>
      <c r="J211" s="188">
        <f>J212</f>
        <v>80000000</v>
      </c>
      <c r="K211" s="183" t="s">
        <v>504</v>
      </c>
      <c r="L211" s="188">
        <f>L212</f>
        <v>81600000</v>
      </c>
      <c r="M211" s="182" t="s">
        <v>505</v>
      </c>
      <c r="N211" s="188">
        <f>N212</f>
        <v>83232000</v>
      </c>
      <c r="O211" s="182" t="s">
        <v>506</v>
      </c>
      <c r="P211" s="188">
        <f>P212</f>
        <v>84896640</v>
      </c>
      <c r="Q211" s="182" t="s">
        <v>507</v>
      </c>
      <c r="R211" s="188">
        <f>R212</f>
        <v>86594572.799999997</v>
      </c>
      <c r="S211" s="1" t="s">
        <v>529</v>
      </c>
      <c r="T211" s="184">
        <f t="shared" si="30"/>
        <v>86594572.799999997</v>
      </c>
      <c r="U211" s="175" t="s">
        <v>527</v>
      </c>
      <c r="V211" s="101"/>
    </row>
    <row r="212" spans="2:22" ht="31.5" x14ac:dyDescent="0.2">
      <c r="B212" s="250"/>
      <c r="C212" s="250"/>
      <c r="D212" s="201" t="s">
        <v>580</v>
      </c>
      <c r="E212" s="200" t="s">
        <v>563</v>
      </c>
      <c r="F212" s="203" t="s">
        <v>469</v>
      </c>
      <c r="G212" s="178">
        <v>4</v>
      </c>
      <c r="H212" s="179">
        <v>65000000</v>
      </c>
      <c r="I212" s="178">
        <v>4</v>
      </c>
      <c r="J212" s="179">
        <v>80000000</v>
      </c>
      <c r="K212" s="178">
        <v>4</v>
      </c>
      <c r="L212" s="180">
        <f t="shared" si="29"/>
        <v>81600000</v>
      </c>
      <c r="M212" s="178">
        <v>4</v>
      </c>
      <c r="N212" s="180">
        <f t="shared" si="29"/>
        <v>83232000</v>
      </c>
      <c r="O212" s="178">
        <v>4</v>
      </c>
      <c r="P212" s="180">
        <f t="shared" si="29"/>
        <v>84896640</v>
      </c>
      <c r="Q212" s="178">
        <v>4</v>
      </c>
      <c r="R212" s="180">
        <f t="shared" si="29"/>
        <v>86594572.799999997</v>
      </c>
      <c r="S212" s="181" t="s">
        <v>528</v>
      </c>
      <c r="T212" s="180">
        <f t="shared" si="30"/>
        <v>86594572.799999997</v>
      </c>
      <c r="U212" s="175" t="s">
        <v>527</v>
      </c>
      <c r="V212" s="101"/>
    </row>
    <row r="213" spans="2:22" ht="84" customHeight="1" x14ac:dyDescent="0.2">
      <c r="B213" s="248" t="s">
        <v>587</v>
      </c>
      <c r="C213" s="248" t="s">
        <v>588</v>
      </c>
      <c r="D213" s="176" t="s">
        <v>583</v>
      </c>
      <c r="E213" s="205" t="s">
        <v>564</v>
      </c>
      <c r="F213" s="81" t="s">
        <v>542</v>
      </c>
      <c r="G213" s="209" t="s">
        <v>523</v>
      </c>
      <c r="H213" s="188">
        <f xml:space="preserve"> SUM(H214:H216)</f>
        <v>1300000000</v>
      </c>
      <c r="I213" s="209" t="s">
        <v>508</v>
      </c>
      <c r="J213" s="188">
        <f xml:space="preserve"> SUM(J214:J216)</f>
        <v>1250000000</v>
      </c>
      <c r="K213" s="187" t="s">
        <v>509</v>
      </c>
      <c r="L213" s="188">
        <f xml:space="preserve"> SUM(L214:L216)</f>
        <v>1275000000</v>
      </c>
      <c r="M213" s="209" t="s">
        <v>510</v>
      </c>
      <c r="N213" s="188">
        <f xml:space="preserve"> SUM(N214:N216)</f>
        <v>1300500000</v>
      </c>
      <c r="O213" s="209" t="s">
        <v>511</v>
      </c>
      <c r="P213" s="188">
        <f xml:space="preserve"> SUM(P214:P216)</f>
        <v>1326510000</v>
      </c>
      <c r="Q213" s="209" t="s">
        <v>512</v>
      </c>
      <c r="R213" s="188">
        <f xml:space="preserve"> SUM(R214:R216)</f>
        <v>1353040200</v>
      </c>
      <c r="S213" s="209" t="s">
        <v>531</v>
      </c>
      <c r="T213" s="184">
        <f t="shared" si="30"/>
        <v>1353040200</v>
      </c>
      <c r="U213" s="175"/>
      <c r="V213" s="101"/>
    </row>
    <row r="214" spans="2:22" ht="21" x14ac:dyDescent="0.2">
      <c r="B214" s="249"/>
      <c r="C214" s="249"/>
      <c r="D214" s="205" t="s">
        <v>232</v>
      </c>
      <c r="E214" s="205" t="s">
        <v>565</v>
      </c>
      <c r="F214" s="198" t="s">
        <v>543</v>
      </c>
      <c r="G214" s="194">
        <v>88</v>
      </c>
      <c r="H214" s="188">
        <v>500000000</v>
      </c>
      <c r="I214" s="194">
        <v>89</v>
      </c>
      <c r="J214" s="210">
        <v>450000000</v>
      </c>
      <c r="K214" s="189">
        <v>90</v>
      </c>
      <c r="L214" s="184">
        <f t="shared" ref="L214:R229" si="31">(J214*2%)+J214</f>
        <v>459000000</v>
      </c>
      <c r="M214" s="209">
        <v>93</v>
      </c>
      <c r="N214" s="184">
        <f t="shared" ref="N214:N216" si="32">(L214*2%)+L214</f>
        <v>468180000</v>
      </c>
      <c r="O214" s="194">
        <v>95</v>
      </c>
      <c r="P214" s="184">
        <f t="shared" ref="P214:P216" si="33">(N214*2%)+N214</f>
        <v>477543600</v>
      </c>
      <c r="Q214" s="194">
        <v>100</v>
      </c>
      <c r="R214" s="184">
        <f t="shared" ref="R214:R216" si="34">(P214*2%)+P214</f>
        <v>487094472</v>
      </c>
      <c r="S214" s="209" t="s">
        <v>532</v>
      </c>
      <c r="T214" s="184">
        <f t="shared" si="30"/>
        <v>487094472</v>
      </c>
      <c r="U214" s="175"/>
      <c r="V214" s="101"/>
    </row>
    <row r="215" spans="2:22" ht="31.5" x14ac:dyDescent="0.2">
      <c r="B215" s="249"/>
      <c r="C215" s="249"/>
      <c r="D215" s="205"/>
      <c r="E215" s="205"/>
      <c r="F215" s="198" t="s">
        <v>544</v>
      </c>
      <c r="G215" s="193">
        <v>90</v>
      </c>
      <c r="H215" s="210">
        <v>450000000</v>
      </c>
      <c r="I215" s="193">
        <v>100</v>
      </c>
      <c r="J215" s="210">
        <f>J218</f>
        <v>450000000</v>
      </c>
      <c r="K215" s="194">
        <v>100</v>
      </c>
      <c r="L215" s="184">
        <f t="shared" si="31"/>
        <v>459000000</v>
      </c>
      <c r="M215" s="193">
        <v>100</v>
      </c>
      <c r="N215" s="184">
        <f t="shared" si="32"/>
        <v>468180000</v>
      </c>
      <c r="O215" s="193">
        <v>100</v>
      </c>
      <c r="P215" s="184">
        <f t="shared" si="33"/>
        <v>477543600</v>
      </c>
      <c r="Q215" s="193">
        <v>100</v>
      </c>
      <c r="R215" s="184">
        <f t="shared" si="34"/>
        <v>487094472</v>
      </c>
      <c r="S215" s="209" t="s">
        <v>532</v>
      </c>
      <c r="T215" s="184">
        <f t="shared" si="30"/>
        <v>487094472</v>
      </c>
      <c r="U215" s="175" t="s">
        <v>527</v>
      </c>
      <c r="V215" s="101"/>
    </row>
    <row r="216" spans="2:22" ht="31.5" x14ac:dyDescent="0.2">
      <c r="B216" s="249"/>
      <c r="C216" s="249"/>
      <c r="D216" s="205"/>
      <c r="E216" s="205"/>
      <c r="F216" s="198" t="s">
        <v>545</v>
      </c>
      <c r="G216" s="176">
        <v>90</v>
      </c>
      <c r="H216" s="210">
        <v>350000000</v>
      </c>
      <c r="I216" s="176">
        <v>93</v>
      </c>
      <c r="J216" s="210">
        <f>J219</f>
        <v>350000000</v>
      </c>
      <c r="K216" s="194">
        <v>95</v>
      </c>
      <c r="L216" s="184">
        <f t="shared" si="31"/>
        <v>357000000</v>
      </c>
      <c r="M216" s="176">
        <v>97</v>
      </c>
      <c r="N216" s="184">
        <f t="shared" si="32"/>
        <v>364140000</v>
      </c>
      <c r="O216" s="176">
        <v>100</v>
      </c>
      <c r="P216" s="184">
        <f t="shared" si="33"/>
        <v>371422800</v>
      </c>
      <c r="Q216" s="176">
        <v>100</v>
      </c>
      <c r="R216" s="184">
        <f t="shared" si="34"/>
        <v>378851256</v>
      </c>
      <c r="S216" s="209" t="s">
        <v>532</v>
      </c>
      <c r="T216" s="184">
        <f t="shared" si="30"/>
        <v>378851256</v>
      </c>
      <c r="U216" s="175" t="s">
        <v>527</v>
      </c>
      <c r="V216" s="101"/>
    </row>
    <row r="217" spans="2:22" ht="31.5" x14ac:dyDescent="0.2">
      <c r="B217" s="249"/>
      <c r="C217" s="249"/>
      <c r="D217" s="201" t="s">
        <v>575</v>
      </c>
      <c r="E217" s="88" t="s">
        <v>566</v>
      </c>
      <c r="F217" s="202" t="s">
        <v>546</v>
      </c>
      <c r="G217" s="86">
        <v>1</v>
      </c>
      <c r="H217" s="190">
        <v>500000000</v>
      </c>
      <c r="I217" s="86">
        <v>1</v>
      </c>
      <c r="J217" s="179">
        <v>450000000</v>
      </c>
      <c r="K217" s="86">
        <v>1</v>
      </c>
      <c r="L217" s="180">
        <f t="shared" si="31"/>
        <v>459000000</v>
      </c>
      <c r="M217" s="86">
        <v>1</v>
      </c>
      <c r="N217" s="180">
        <f t="shared" si="31"/>
        <v>468180000</v>
      </c>
      <c r="O217" s="86">
        <v>1</v>
      </c>
      <c r="P217" s="180">
        <f t="shared" si="31"/>
        <v>477543600</v>
      </c>
      <c r="Q217" s="86">
        <v>1</v>
      </c>
      <c r="R217" s="180">
        <f t="shared" si="31"/>
        <v>487094472</v>
      </c>
      <c r="S217" s="86" t="s">
        <v>533</v>
      </c>
      <c r="T217" s="180">
        <f t="shared" si="30"/>
        <v>487094472</v>
      </c>
      <c r="U217" s="175" t="s">
        <v>527</v>
      </c>
      <c r="V217" s="101"/>
    </row>
    <row r="218" spans="2:22" ht="31.5" x14ac:dyDescent="0.2">
      <c r="B218" s="249"/>
      <c r="C218" s="249"/>
      <c r="D218" s="191" t="s">
        <v>576</v>
      </c>
      <c r="E218" s="200" t="s">
        <v>567</v>
      </c>
      <c r="F218" s="203" t="s">
        <v>547</v>
      </c>
      <c r="G218" s="86">
        <v>1</v>
      </c>
      <c r="H218" s="179">
        <v>450000000</v>
      </c>
      <c r="I218" s="86">
        <v>1</v>
      </c>
      <c r="J218" s="179">
        <v>450000000</v>
      </c>
      <c r="K218" s="86">
        <v>1</v>
      </c>
      <c r="L218" s="180">
        <f t="shared" si="31"/>
        <v>459000000</v>
      </c>
      <c r="M218" s="86">
        <v>1</v>
      </c>
      <c r="N218" s="180">
        <f t="shared" si="31"/>
        <v>468180000</v>
      </c>
      <c r="O218" s="86">
        <v>1</v>
      </c>
      <c r="P218" s="180">
        <f t="shared" si="31"/>
        <v>477543600</v>
      </c>
      <c r="Q218" s="86">
        <v>1</v>
      </c>
      <c r="R218" s="180">
        <f t="shared" si="31"/>
        <v>487094472</v>
      </c>
      <c r="S218" s="181" t="s">
        <v>533</v>
      </c>
      <c r="T218" s="180">
        <f t="shared" si="30"/>
        <v>487094472</v>
      </c>
      <c r="U218" s="175" t="s">
        <v>527</v>
      </c>
      <c r="V218" s="101"/>
    </row>
    <row r="219" spans="2:22" ht="31.5" x14ac:dyDescent="0.2">
      <c r="B219" s="249"/>
      <c r="C219" s="249"/>
      <c r="D219" s="191" t="s">
        <v>580</v>
      </c>
      <c r="E219" s="200" t="s">
        <v>568</v>
      </c>
      <c r="F219" s="203" t="s">
        <v>548</v>
      </c>
      <c r="G219" s="86">
        <v>1</v>
      </c>
      <c r="H219" s="179">
        <v>350000000</v>
      </c>
      <c r="I219" s="86">
        <v>1</v>
      </c>
      <c r="J219" s="179">
        <v>350000000</v>
      </c>
      <c r="K219" s="86">
        <v>1</v>
      </c>
      <c r="L219" s="180">
        <f t="shared" si="31"/>
        <v>357000000</v>
      </c>
      <c r="M219" s="86">
        <v>1</v>
      </c>
      <c r="N219" s="180">
        <f t="shared" si="31"/>
        <v>364140000</v>
      </c>
      <c r="O219" s="86">
        <v>1</v>
      </c>
      <c r="P219" s="180">
        <f t="shared" si="31"/>
        <v>371422800</v>
      </c>
      <c r="Q219" s="86">
        <v>1</v>
      </c>
      <c r="R219" s="180">
        <f t="shared" si="31"/>
        <v>378851256</v>
      </c>
      <c r="S219" s="3" t="s">
        <v>533</v>
      </c>
      <c r="T219" s="180">
        <f t="shared" si="30"/>
        <v>378851256</v>
      </c>
      <c r="U219" s="175" t="s">
        <v>527</v>
      </c>
      <c r="V219" s="101"/>
    </row>
    <row r="220" spans="2:22" ht="31.5" x14ac:dyDescent="0.2">
      <c r="B220" s="249"/>
      <c r="C220" s="249"/>
      <c r="D220" s="205" t="s">
        <v>250</v>
      </c>
      <c r="E220" s="205" t="s">
        <v>569</v>
      </c>
      <c r="F220" s="81" t="s">
        <v>549</v>
      </c>
      <c r="G220" s="191" t="s">
        <v>524</v>
      </c>
      <c r="H220" s="211">
        <v>350000000</v>
      </c>
      <c r="I220" s="191">
        <v>100</v>
      </c>
      <c r="J220" s="211">
        <v>400000000</v>
      </c>
      <c r="K220" s="192" t="s">
        <v>210</v>
      </c>
      <c r="L220" s="184">
        <f t="shared" si="31"/>
        <v>408000000</v>
      </c>
      <c r="M220" s="192" t="s">
        <v>210</v>
      </c>
      <c r="N220" s="184">
        <f t="shared" si="31"/>
        <v>416160000</v>
      </c>
      <c r="O220" s="192" t="s">
        <v>210</v>
      </c>
      <c r="P220" s="184">
        <f t="shared" si="31"/>
        <v>424483200</v>
      </c>
      <c r="Q220" s="192" t="s">
        <v>210</v>
      </c>
      <c r="R220" s="184">
        <f t="shared" si="31"/>
        <v>432972864</v>
      </c>
      <c r="S220" s="191" t="s">
        <v>534</v>
      </c>
      <c r="T220" s="184">
        <f t="shared" si="30"/>
        <v>432972864</v>
      </c>
      <c r="U220" s="175" t="s">
        <v>527</v>
      </c>
      <c r="V220" s="101"/>
    </row>
    <row r="221" spans="2:22" ht="31.5" x14ac:dyDescent="0.2">
      <c r="B221" s="249"/>
      <c r="C221" s="249"/>
      <c r="D221" s="205"/>
      <c r="E221" s="205"/>
      <c r="F221" s="198" t="s">
        <v>550</v>
      </c>
      <c r="G221" s="1">
        <v>70</v>
      </c>
      <c r="H221" s="211">
        <v>325000000</v>
      </c>
      <c r="I221" s="1" t="s">
        <v>513</v>
      </c>
      <c r="J221" s="211">
        <v>350000000</v>
      </c>
      <c r="K221" s="191">
        <v>85</v>
      </c>
      <c r="L221" s="184">
        <f t="shared" si="31"/>
        <v>357000000</v>
      </c>
      <c r="M221" s="176">
        <v>90</v>
      </c>
      <c r="N221" s="184">
        <f t="shared" si="31"/>
        <v>364140000</v>
      </c>
      <c r="O221" s="1">
        <v>95</v>
      </c>
      <c r="P221" s="184">
        <f t="shared" si="31"/>
        <v>371422800</v>
      </c>
      <c r="Q221" s="1">
        <v>100</v>
      </c>
      <c r="R221" s="184">
        <f t="shared" si="31"/>
        <v>378851256</v>
      </c>
      <c r="S221" s="1" t="s">
        <v>532</v>
      </c>
      <c r="T221" s="184">
        <f t="shared" si="30"/>
        <v>378851256</v>
      </c>
      <c r="U221" s="175" t="s">
        <v>527</v>
      </c>
      <c r="V221" s="101"/>
    </row>
    <row r="222" spans="2:22" ht="31.5" x14ac:dyDescent="0.2">
      <c r="B222" s="249"/>
      <c r="C222" s="249"/>
      <c r="D222" s="205"/>
      <c r="E222" s="205"/>
      <c r="F222" s="198" t="s">
        <v>551</v>
      </c>
      <c r="G222" s="193" t="s">
        <v>525</v>
      </c>
      <c r="H222" s="210">
        <v>360000000</v>
      </c>
      <c r="I222" s="193" t="s">
        <v>514</v>
      </c>
      <c r="J222" s="210">
        <v>400000000</v>
      </c>
      <c r="K222" s="194" t="s">
        <v>515</v>
      </c>
      <c r="L222" s="184">
        <f t="shared" si="31"/>
        <v>408000000</v>
      </c>
      <c r="M222" s="193" t="s">
        <v>516</v>
      </c>
      <c r="N222" s="184">
        <f t="shared" si="31"/>
        <v>416160000</v>
      </c>
      <c r="O222" s="193" t="s">
        <v>510</v>
      </c>
      <c r="P222" s="184">
        <f t="shared" si="31"/>
        <v>424483200</v>
      </c>
      <c r="Q222" s="193" t="s">
        <v>517</v>
      </c>
      <c r="R222" s="184">
        <f t="shared" si="31"/>
        <v>432972864</v>
      </c>
      <c r="S222" s="193" t="s">
        <v>535</v>
      </c>
      <c r="T222" s="184">
        <f t="shared" si="30"/>
        <v>432972864</v>
      </c>
      <c r="U222" s="175" t="s">
        <v>527</v>
      </c>
      <c r="V222" s="101"/>
    </row>
    <row r="223" spans="2:22" ht="31.5" x14ac:dyDescent="0.2">
      <c r="B223" s="249"/>
      <c r="C223" s="249"/>
      <c r="D223" s="205"/>
      <c r="E223" s="205"/>
      <c r="F223" s="198" t="s">
        <v>552</v>
      </c>
      <c r="G223" s="1" t="s">
        <v>526</v>
      </c>
      <c r="H223" s="210">
        <v>315000000</v>
      </c>
      <c r="I223" s="182" t="s">
        <v>518</v>
      </c>
      <c r="J223" s="210">
        <v>400000000</v>
      </c>
      <c r="K223" s="192" t="s">
        <v>519</v>
      </c>
      <c r="L223" s="184">
        <f t="shared" si="31"/>
        <v>408000000</v>
      </c>
      <c r="M223" s="176" t="s">
        <v>520</v>
      </c>
      <c r="N223" s="184">
        <f t="shared" si="31"/>
        <v>416160000</v>
      </c>
      <c r="O223" s="1" t="s">
        <v>521</v>
      </c>
      <c r="P223" s="184">
        <f t="shared" si="31"/>
        <v>424483200</v>
      </c>
      <c r="Q223" s="182">
        <v>100</v>
      </c>
      <c r="R223" s="184">
        <f t="shared" si="31"/>
        <v>432972864</v>
      </c>
      <c r="S223" s="176" t="s">
        <v>532</v>
      </c>
      <c r="T223" s="184">
        <f t="shared" si="30"/>
        <v>432972864</v>
      </c>
      <c r="U223" s="175" t="s">
        <v>527</v>
      </c>
      <c r="V223" s="101"/>
    </row>
    <row r="224" spans="2:22" ht="31.5" x14ac:dyDescent="0.2">
      <c r="B224" s="249"/>
      <c r="C224" s="249"/>
      <c r="D224" s="205"/>
      <c r="E224" s="205"/>
      <c r="F224" s="81" t="s">
        <v>553</v>
      </c>
      <c r="G224" s="1">
        <v>32</v>
      </c>
      <c r="H224" s="210">
        <v>400000000</v>
      </c>
      <c r="I224" s="182">
        <v>47</v>
      </c>
      <c r="J224" s="210">
        <v>400000000</v>
      </c>
      <c r="K224" s="191">
        <v>58</v>
      </c>
      <c r="L224" s="184">
        <f t="shared" si="31"/>
        <v>408000000</v>
      </c>
      <c r="M224" s="1">
        <v>70</v>
      </c>
      <c r="N224" s="184">
        <f t="shared" si="31"/>
        <v>416160000</v>
      </c>
      <c r="O224" s="1">
        <v>81</v>
      </c>
      <c r="P224" s="184">
        <f t="shared" si="31"/>
        <v>424483200</v>
      </c>
      <c r="Q224" s="182">
        <v>86</v>
      </c>
      <c r="R224" s="184">
        <f t="shared" si="31"/>
        <v>432972864</v>
      </c>
      <c r="S224" s="182" t="s">
        <v>536</v>
      </c>
      <c r="T224" s="184">
        <f t="shared" si="30"/>
        <v>432972864</v>
      </c>
      <c r="U224" s="175" t="s">
        <v>527</v>
      </c>
      <c r="V224" s="101"/>
    </row>
    <row r="225" spans="2:22" ht="31.5" x14ac:dyDescent="0.2">
      <c r="B225" s="249"/>
      <c r="C225" s="249"/>
      <c r="D225" s="191" t="s">
        <v>575</v>
      </c>
      <c r="E225" s="200" t="s">
        <v>570</v>
      </c>
      <c r="F225" s="203" t="s">
        <v>554</v>
      </c>
      <c r="G225" s="86">
        <v>1</v>
      </c>
      <c r="H225" s="212">
        <v>350000000</v>
      </c>
      <c r="I225" s="86">
        <v>1</v>
      </c>
      <c r="J225" s="212">
        <v>400000000</v>
      </c>
      <c r="K225" s="86">
        <v>1</v>
      </c>
      <c r="L225" s="180">
        <f t="shared" si="31"/>
        <v>408000000</v>
      </c>
      <c r="M225" s="86">
        <v>1</v>
      </c>
      <c r="N225" s="180">
        <f t="shared" si="31"/>
        <v>416160000</v>
      </c>
      <c r="O225" s="86">
        <v>1</v>
      </c>
      <c r="P225" s="180">
        <f t="shared" si="31"/>
        <v>424483200</v>
      </c>
      <c r="Q225" s="86">
        <v>1</v>
      </c>
      <c r="R225" s="180">
        <f t="shared" si="31"/>
        <v>432972864</v>
      </c>
      <c r="S225" s="181" t="s">
        <v>533</v>
      </c>
      <c r="T225" s="180">
        <f t="shared" si="30"/>
        <v>432972864</v>
      </c>
      <c r="U225" s="175" t="s">
        <v>527</v>
      </c>
      <c r="V225" s="101"/>
    </row>
    <row r="226" spans="2:22" ht="31.5" x14ac:dyDescent="0.2">
      <c r="B226" s="249"/>
      <c r="C226" s="249"/>
      <c r="D226" s="191" t="s">
        <v>576</v>
      </c>
      <c r="E226" s="200" t="s">
        <v>571</v>
      </c>
      <c r="F226" s="203" t="s">
        <v>555</v>
      </c>
      <c r="G226" s="86">
        <v>1</v>
      </c>
      <c r="H226" s="212">
        <v>325000000</v>
      </c>
      <c r="I226" s="86">
        <v>1</v>
      </c>
      <c r="J226" s="212">
        <v>350000000</v>
      </c>
      <c r="K226" s="86">
        <v>1</v>
      </c>
      <c r="L226" s="180">
        <f t="shared" si="31"/>
        <v>357000000</v>
      </c>
      <c r="M226" s="86">
        <v>1</v>
      </c>
      <c r="N226" s="180">
        <f t="shared" si="31"/>
        <v>364140000</v>
      </c>
      <c r="O226" s="86">
        <v>1</v>
      </c>
      <c r="P226" s="180">
        <f t="shared" si="31"/>
        <v>371422800</v>
      </c>
      <c r="Q226" s="86">
        <v>1</v>
      </c>
      <c r="R226" s="180">
        <f t="shared" si="31"/>
        <v>378851256</v>
      </c>
      <c r="S226" s="181" t="s">
        <v>533</v>
      </c>
      <c r="T226" s="180">
        <f t="shared" si="30"/>
        <v>378851256</v>
      </c>
      <c r="U226" s="175" t="s">
        <v>527</v>
      </c>
      <c r="V226" s="101"/>
    </row>
    <row r="227" spans="2:22" ht="31.5" x14ac:dyDescent="0.2">
      <c r="B227" s="249"/>
      <c r="C227" s="249"/>
      <c r="D227" s="191" t="s">
        <v>580</v>
      </c>
      <c r="E227" s="200" t="s">
        <v>572</v>
      </c>
      <c r="F227" s="203" t="s">
        <v>556</v>
      </c>
      <c r="G227" s="86">
        <v>1</v>
      </c>
      <c r="H227" s="179">
        <v>360000000</v>
      </c>
      <c r="I227" s="86">
        <v>1</v>
      </c>
      <c r="J227" s="179">
        <v>400000000</v>
      </c>
      <c r="K227" s="86">
        <v>1</v>
      </c>
      <c r="L227" s="180">
        <f t="shared" si="31"/>
        <v>408000000</v>
      </c>
      <c r="M227" s="86">
        <v>1</v>
      </c>
      <c r="N227" s="180">
        <f t="shared" si="31"/>
        <v>416160000</v>
      </c>
      <c r="O227" s="86">
        <v>1</v>
      </c>
      <c r="P227" s="180">
        <f t="shared" si="31"/>
        <v>424483200</v>
      </c>
      <c r="Q227" s="86">
        <v>1</v>
      </c>
      <c r="R227" s="180">
        <f t="shared" si="31"/>
        <v>432972864</v>
      </c>
      <c r="S227" s="181" t="s">
        <v>533</v>
      </c>
      <c r="T227" s="180">
        <f t="shared" si="30"/>
        <v>432972864</v>
      </c>
      <c r="U227" s="175" t="s">
        <v>527</v>
      </c>
      <c r="V227" s="101"/>
    </row>
    <row r="228" spans="2:22" ht="31.5" x14ac:dyDescent="0.2">
      <c r="B228" s="249"/>
      <c r="C228" s="249"/>
      <c r="D228" s="191" t="s">
        <v>577</v>
      </c>
      <c r="E228" s="200" t="s">
        <v>573</v>
      </c>
      <c r="F228" s="203" t="s">
        <v>557</v>
      </c>
      <c r="G228" s="86">
        <v>1</v>
      </c>
      <c r="H228" s="179">
        <v>315000000</v>
      </c>
      <c r="I228" s="86">
        <v>1</v>
      </c>
      <c r="J228" s="179">
        <v>400000000</v>
      </c>
      <c r="K228" s="86">
        <v>1</v>
      </c>
      <c r="L228" s="180">
        <f t="shared" si="31"/>
        <v>408000000</v>
      </c>
      <c r="M228" s="86">
        <v>1</v>
      </c>
      <c r="N228" s="180">
        <f t="shared" si="31"/>
        <v>416160000</v>
      </c>
      <c r="O228" s="86">
        <v>1</v>
      </c>
      <c r="P228" s="180">
        <f t="shared" si="31"/>
        <v>424483200</v>
      </c>
      <c r="Q228" s="86">
        <v>1</v>
      </c>
      <c r="R228" s="180">
        <f t="shared" si="31"/>
        <v>432972864</v>
      </c>
      <c r="S228" s="181" t="s">
        <v>533</v>
      </c>
      <c r="T228" s="180">
        <f t="shared" si="30"/>
        <v>432972864</v>
      </c>
      <c r="U228" s="175" t="s">
        <v>527</v>
      </c>
      <c r="V228" s="101"/>
    </row>
    <row r="229" spans="2:22" ht="31.5" x14ac:dyDescent="0.2">
      <c r="B229" s="249"/>
      <c r="C229" s="249"/>
      <c r="D229" s="191" t="s">
        <v>581</v>
      </c>
      <c r="E229" s="200" t="s">
        <v>574</v>
      </c>
      <c r="F229" s="203" t="s">
        <v>558</v>
      </c>
      <c r="G229" s="213" t="s">
        <v>522</v>
      </c>
      <c r="H229" s="179">
        <v>400000000</v>
      </c>
      <c r="I229" s="213" t="s">
        <v>522</v>
      </c>
      <c r="J229" s="179">
        <v>400000000</v>
      </c>
      <c r="K229" s="213" t="s">
        <v>522</v>
      </c>
      <c r="L229" s="180">
        <f t="shared" si="31"/>
        <v>408000000</v>
      </c>
      <c r="M229" s="213" t="s">
        <v>522</v>
      </c>
      <c r="N229" s="180">
        <f t="shared" si="31"/>
        <v>416160000</v>
      </c>
      <c r="O229" s="213" t="s">
        <v>522</v>
      </c>
      <c r="P229" s="180">
        <f t="shared" si="31"/>
        <v>424483200</v>
      </c>
      <c r="Q229" s="213" t="s">
        <v>522</v>
      </c>
      <c r="R229" s="180">
        <f t="shared" si="31"/>
        <v>432972864</v>
      </c>
      <c r="S229" s="181" t="s">
        <v>533</v>
      </c>
      <c r="T229" s="180">
        <f t="shared" si="30"/>
        <v>432972864</v>
      </c>
      <c r="U229" s="175" t="s">
        <v>527</v>
      </c>
      <c r="V229" s="101"/>
    </row>
    <row r="230" spans="2:22" x14ac:dyDescent="0.2">
      <c r="B230" s="250"/>
      <c r="C230" s="250"/>
      <c r="D230" s="214"/>
      <c r="E230" s="101"/>
      <c r="F230" s="214"/>
      <c r="G230" s="215"/>
      <c r="H230" s="195">
        <f>SUM(H199+H213)</f>
        <v>2260000000</v>
      </c>
      <c r="I230" s="196"/>
      <c r="J230" s="195">
        <f>SUM(J199+J213)</f>
        <v>2290000000</v>
      </c>
      <c r="K230" s="216"/>
      <c r="L230" s="195">
        <f>SUM(L199+L213)</f>
        <v>2335800000</v>
      </c>
      <c r="M230" s="217"/>
      <c r="N230" s="195">
        <f>SUM(N199+N213)</f>
        <v>2382516000</v>
      </c>
      <c r="O230" s="196"/>
      <c r="P230" s="195">
        <f>SUM(P199+P213)</f>
        <v>2430166320</v>
      </c>
      <c r="Q230" s="196"/>
      <c r="R230" s="195">
        <f>SUM(R199+R213)</f>
        <v>2478769646.4000001</v>
      </c>
      <c r="S230" s="215"/>
      <c r="T230" s="195">
        <f>SUM(T199+T213)</f>
        <v>2478769646.4000001</v>
      </c>
      <c r="U230" s="204"/>
      <c r="V230" s="101"/>
    </row>
    <row r="231" spans="2:22" x14ac:dyDescent="0.2">
      <c r="B231" s="389"/>
      <c r="C231" s="389"/>
      <c r="D231" s="390"/>
      <c r="E231" s="391"/>
      <c r="F231" s="390"/>
      <c r="G231" s="392"/>
      <c r="H231" s="393"/>
      <c r="I231" s="394"/>
      <c r="J231" s="393"/>
      <c r="K231" s="395"/>
      <c r="L231" s="393"/>
      <c r="M231" s="396"/>
      <c r="N231" s="393"/>
      <c r="O231" s="394"/>
      <c r="P231" s="393"/>
      <c r="Q231" s="394"/>
      <c r="R231" s="393"/>
      <c r="S231" s="392"/>
      <c r="T231" s="393"/>
      <c r="U231" s="397"/>
      <c r="V231" s="391"/>
    </row>
    <row r="232" spans="2:22" ht="45" customHeight="1" x14ac:dyDescent="0.2">
      <c r="B232" s="251" t="s">
        <v>590</v>
      </c>
      <c r="C232" s="248" t="s">
        <v>591</v>
      </c>
      <c r="D232" s="247" t="s">
        <v>152</v>
      </c>
      <c r="E232" s="76" t="s">
        <v>287</v>
      </c>
      <c r="F232" s="76" t="s">
        <v>270</v>
      </c>
      <c r="G232" s="76"/>
      <c r="H232" s="231">
        <f>SUM(H233,H237,H240,H245,H247,H251)</f>
        <v>4000335406</v>
      </c>
      <c r="I232" s="232" t="s">
        <v>69</v>
      </c>
      <c r="J232" s="231">
        <f>SUM(J233,J237,J240,J245,J247,J251)</f>
        <v>4500368946.6000004</v>
      </c>
      <c r="K232" s="232" t="s">
        <v>70</v>
      </c>
      <c r="L232" s="231">
        <f>SUM(L233,L237,L240,L245,L247,L251)</f>
        <v>5050405841.2600002</v>
      </c>
      <c r="M232" s="232" t="s">
        <v>70</v>
      </c>
      <c r="N232" s="231">
        <f>SUM(N233,N237,N240,N245,N247,N251)</f>
        <v>5655446425.3860006</v>
      </c>
      <c r="O232" s="232" t="s">
        <v>70</v>
      </c>
      <c r="P232" s="231">
        <f>SUM(P233,P237,P240,P245,P247,P251)</f>
        <v>6320991067.9245996</v>
      </c>
      <c r="Q232" s="243" t="s">
        <v>71</v>
      </c>
      <c r="R232" s="231">
        <f>SUM(R233,R237,R240,R245,R247,R251)</f>
        <v>7053090174.7170601</v>
      </c>
      <c r="S232" s="243" t="s">
        <v>71</v>
      </c>
      <c r="T232" s="231">
        <v>7053090175</v>
      </c>
      <c r="U232" s="243" t="s">
        <v>592</v>
      </c>
      <c r="V232" s="243"/>
    </row>
    <row r="233" spans="2:22" ht="21" x14ac:dyDescent="0.2">
      <c r="B233" s="252"/>
      <c r="C233" s="249"/>
      <c r="D233" s="239" t="s">
        <v>153</v>
      </c>
      <c r="E233" s="81" t="s">
        <v>288</v>
      </c>
      <c r="F233" s="81" t="s">
        <v>74</v>
      </c>
      <c r="G233" s="81"/>
      <c r="H233" s="233">
        <f>SUM(H234:H236)</f>
        <v>279837658</v>
      </c>
      <c r="I233" s="234">
        <v>1</v>
      </c>
      <c r="J233" s="233">
        <f>SUM(J234:J236)</f>
        <v>307821423.80000001</v>
      </c>
      <c r="K233" s="234">
        <v>1</v>
      </c>
      <c r="L233" s="233">
        <f>SUM(L234:L236)</f>
        <v>338603566.18000001</v>
      </c>
      <c r="M233" s="234">
        <v>1</v>
      </c>
      <c r="N233" s="233">
        <f>SUM(N234:N236)</f>
        <v>372463922.79799998</v>
      </c>
      <c r="O233" s="234">
        <v>1</v>
      </c>
      <c r="P233" s="233">
        <f>SUM(P234:P236)</f>
        <v>409710315.07780004</v>
      </c>
      <c r="Q233" s="244">
        <v>1</v>
      </c>
      <c r="R233" s="233">
        <f>SUM(R234:R236)</f>
        <v>450681346.58557999</v>
      </c>
      <c r="S233" s="244">
        <v>1</v>
      </c>
      <c r="T233" s="233">
        <f>SUM(T234:T236)</f>
        <v>450681346.58557999</v>
      </c>
      <c r="U233" s="243" t="s">
        <v>592</v>
      </c>
      <c r="V233" s="245" t="s">
        <v>23</v>
      </c>
    </row>
    <row r="234" spans="2:22" ht="22.5" x14ac:dyDescent="0.2">
      <c r="B234" s="252"/>
      <c r="C234" s="249"/>
      <c r="D234" s="239" t="s">
        <v>307</v>
      </c>
      <c r="E234" s="87" t="s">
        <v>136</v>
      </c>
      <c r="F234" s="88" t="s">
        <v>115</v>
      </c>
      <c r="G234" s="88"/>
      <c r="H234" s="235">
        <v>71530000</v>
      </c>
      <c r="I234" s="236" t="s">
        <v>180</v>
      </c>
      <c r="J234" s="237">
        <f>H234+(H234*10%)</f>
        <v>78683000</v>
      </c>
      <c r="K234" s="236" t="s">
        <v>180</v>
      </c>
      <c r="L234" s="237">
        <f>J234+(J234*10%)</f>
        <v>86551300</v>
      </c>
      <c r="M234" s="236" t="s">
        <v>180</v>
      </c>
      <c r="N234" s="237">
        <f>L234+(L234*10%)</f>
        <v>95206430</v>
      </c>
      <c r="O234" s="236" t="s">
        <v>180</v>
      </c>
      <c r="P234" s="237">
        <f>N234+(N234*10%)</f>
        <v>104727073</v>
      </c>
      <c r="Q234" s="245" t="s">
        <v>180</v>
      </c>
      <c r="R234" s="237">
        <f>P234+(P234*10%)</f>
        <v>115199780.3</v>
      </c>
      <c r="S234" s="245" t="s">
        <v>180</v>
      </c>
      <c r="T234" s="237">
        <v>115199780.3</v>
      </c>
      <c r="U234" s="243" t="s">
        <v>592</v>
      </c>
      <c r="V234" s="245" t="s">
        <v>23</v>
      </c>
    </row>
    <row r="235" spans="2:22" ht="33.75" x14ac:dyDescent="0.2">
      <c r="B235" s="252"/>
      <c r="C235" s="249"/>
      <c r="D235" s="87" t="s">
        <v>308</v>
      </c>
      <c r="E235" s="87" t="s">
        <v>289</v>
      </c>
      <c r="F235" s="88" t="s">
        <v>271</v>
      </c>
      <c r="G235" s="88"/>
      <c r="H235" s="235">
        <v>18158000</v>
      </c>
      <c r="I235" s="236" t="s">
        <v>263</v>
      </c>
      <c r="J235" s="237">
        <f t="shared" ref="J235:R239" si="35">H235+(H235*10%)</f>
        <v>19973800</v>
      </c>
      <c r="K235" s="236" t="s">
        <v>263</v>
      </c>
      <c r="L235" s="237">
        <f t="shared" ref="L235" si="36">J235+(J235*10%)</f>
        <v>21971180</v>
      </c>
      <c r="M235" s="236" t="s">
        <v>263</v>
      </c>
      <c r="N235" s="237">
        <f t="shared" ref="N235" si="37">L235+(L235*10%)</f>
        <v>24168298</v>
      </c>
      <c r="O235" s="236" t="s">
        <v>263</v>
      </c>
      <c r="P235" s="237">
        <f t="shared" ref="P235" si="38">N235+(N235*10%)</f>
        <v>26585127.800000001</v>
      </c>
      <c r="Q235" s="245" t="s">
        <v>263</v>
      </c>
      <c r="R235" s="237">
        <f t="shared" ref="R235" si="39">P235+(P235*10%)</f>
        <v>29243640.580000002</v>
      </c>
      <c r="S235" s="245" t="s">
        <v>263</v>
      </c>
      <c r="T235" s="235">
        <v>29243640.580000002</v>
      </c>
      <c r="U235" s="243" t="s">
        <v>592</v>
      </c>
      <c r="V235" s="245" t="s">
        <v>23</v>
      </c>
    </row>
    <row r="236" spans="2:22" x14ac:dyDescent="0.2">
      <c r="B236" s="252"/>
      <c r="C236" s="249"/>
      <c r="D236" s="87" t="s">
        <v>593</v>
      </c>
      <c r="E236" s="87" t="s">
        <v>140</v>
      </c>
      <c r="F236" s="87" t="s">
        <v>119</v>
      </c>
      <c r="G236" s="87"/>
      <c r="H236" s="235">
        <v>190149658</v>
      </c>
      <c r="I236" s="236" t="s">
        <v>594</v>
      </c>
      <c r="J236" s="237">
        <f>H236+(H236*10%)</f>
        <v>209164623.80000001</v>
      </c>
      <c r="K236" s="236" t="s">
        <v>594</v>
      </c>
      <c r="L236" s="237">
        <f>J236+(J236*10%)</f>
        <v>230081086.18000001</v>
      </c>
      <c r="M236" s="236" t="s">
        <v>594</v>
      </c>
      <c r="N236" s="237">
        <f>L236+(L236*10%)</f>
        <v>253089194.79800001</v>
      </c>
      <c r="O236" s="236" t="s">
        <v>594</v>
      </c>
      <c r="P236" s="237">
        <f>N236+(N236*10%)</f>
        <v>278398114.27780002</v>
      </c>
      <c r="Q236" s="236" t="s">
        <v>594</v>
      </c>
      <c r="R236" s="237">
        <f>P236+(P236*10%)</f>
        <v>306237925.70558</v>
      </c>
      <c r="S236" s="236" t="s">
        <v>594</v>
      </c>
      <c r="T236" s="235">
        <v>306237925.70558</v>
      </c>
      <c r="U236" s="243" t="s">
        <v>592</v>
      </c>
      <c r="V236" s="245" t="s">
        <v>23</v>
      </c>
    </row>
    <row r="237" spans="2:22" x14ac:dyDescent="0.2">
      <c r="B237" s="252"/>
      <c r="C237" s="249"/>
      <c r="D237" s="239" t="s">
        <v>595</v>
      </c>
      <c r="E237" s="240" t="s">
        <v>596</v>
      </c>
      <c r="F237" s="240" t="s">
        <v>597</v>
      </c>
      <c r="G237" s="240"/>
      <c r="H237" s="233">
        <f>SUM(H238:H239)</f>
        <v>166729438</v>
      </c>
      <c r="I237" s="241">
        <v>1</v>
      </c>
      <c r="J237" s="233">
        <f>SUM(J238:J239)</f>
        <v>183402381.80000001</v>
      </c>
      <c r="K237" s="241">
        <v>1</v>
      </c>
      <c r="L237" s="233">
        <f>SUM(L238:L239)</f>
        <v>201742619.98000002</v>
      </c>
      <c r="M237" s="241">
        <v>1</v>
      </c>
      <c r="N237" s="233">
        <f>SUM(N238:N239)</f>
        <v>221916881.97800002</v>
      </c>
      <c r="O237" s="241">
        <v>1</v>
      </c>
      <c r="P237" s="233">
        <f>SUM(P238:P239)</f>
        <v>244108570.17580003</v>
      </c>
      <c r="Q237" s="246">
        <v>1</v>
      </c>
      <c r="R237" s="233">
        <f>SUM(R238:R239)</f>
        <v>268519427.19338006</v>
      </c>
      <c r="S237" s="246">
        <v>1</v>
      </c>
      <c r="T237" s="233">
        <f>SUM(T238:T239)</f>
        <v>268519427.19338006</v>
      </c>
      <c r="U237" s="243" t="s">
        <v>592</v>
      </c>
      <c r="V237" s="245" t="s">
        <v>23</v>
      </c>
    </row>
    <row r="238" spans="2:22" ht="22.5" x14ac:dyDescent="0.2">
      <c r="B238" s="252"/>
      <c r="C238" s="249"/>
      <c r="D238" s="239" t="s">
        <v>598</v>
      </c>
      <c r="E238" s="87" t="s">
        <v>599</v>
      </c>
      <c r="F238" s="87" t="s">
        <v>600</v>
      </c>
      <c r="G238" s="87"/>
      <c r="H238" s="235">
        <v>143549438</v>
      </c>
      <c r="I238" s="236" t="s">
        <v>601</v>
      </c>
      <c r="J238" s="237">
        <f t="shared" si="35"/>
        <v>157904381.80000001</v>
      </c>
      <c r="K238" s="236" t="s">
        <v>601</v>
      </c>
      <c r="L238" s="237">
        <f t="shared" si="35"/>
        <v>173694819.98000002</v>
      </c>
      <c r="M238" s="236" t="s">
        <v>601</v>
      </c>
      <c r="N238" s="237">
        <f t="shared" si="35"/>
        <v>191064301.97800002</v>
      </c>
      <c r="O238" s="236" t="s">
        <v>601</v>
      </c>
      <c r="P238" s="237">
        <f t="shared" si="35"/>
        <v>210170732.17580003</v>
      </c>
      <c r="Q238" s="245" t="s">
        <v>601</v>
      </c>
      <c r="R238" s="237">
        <f t="shared" si="35"/>
        <v>231187805.39338005</v>
      </c>
      <c r="S238" s="245" t="s">
        <v>601</v>
      </c>
      <c r="T238" s="237">
        <v>231187805.39338005</v>
      </c>
      <c r="U238" s="243" t="s">
        <v>592</v>
      </c>
      <c r="V238" s="245" t="s">
        <v>23</v>
      </c>
    </row>
    <row r="239" spans="2:22" ht="22.5" x14ac:dyDescent="0.2">
      <c r="B239" s="252"/>
      <c r="C239" s="249"/>
      <c r="D239" s="239" t="s">
        <v>602</v>
      </c>
      <c r="E239" s="87" t="s">
        <v>603</v>
      </c>
      <c r="F239" s="87" t="s">
        <v>604</v>
      </c>
      <c r="G239" s="87"/>
      <c r="H239" s="235">
        <v>23180000</v>
      </c>
      <c r="I239" s="236" t="s">
        <v>605</v>
      </c>
      <c r="J239" s="237">
        <f t="shared" si="35"/>
        <v>25498000</v>
      </c>
      <c r="K239" s="236" t="s">
        <v>605</v>
      </c>
      <c r="L239" s="237">
        <f t="shared" si="35"/>
        <v>28047800</v>
      </c>
      <c r="M239" s="236" t="s">
        <v>605</v>
      </c>
      <c r="N239" s="237">
        <f t="shared" si="35"/>
        <v>30852580</v>
      </c>
      <c r="O239" s="236" t="s">
        <v>605</v>
      </c>
      <c r="P239" s="237">
        <f t="shared" si="35"/>
        <v>33937838</v>
      </c>
      <c r="Q239" s="245" t="s">
        <v>605</v>
      </c>
      <c r="R239" s="237">
        <f t="shared" si="35"/>
        <v>37331621.799999997</v>
      </c>
      <c r="S239" s="245" t="s">
        <v>605</v>
      </c>
      <c r="T239" s="235">
        <v>37331621.799999997</v>
      </c>
      <c r="U239" s="243" t="s">
        <v>592</v>
      </c>
      <c r="V239" s="245" t="s">
        <v>23</v>
      </c>
    </row>
    <row r="240" spans="2:22" x14ac:dyDescent="0.2">
      <c r="B240" s="252"/>
      <c r="C240" s="249"/>
      <c r="D240" s="239" t="s">
        <v>72</v>
      </c>
      <c r="E240" s="240" t="s">
        <v>291</v>
      </c>
      <c r="F240" s="240" t="s">
        <v>597</v>
      </c>
      <c r="G240" s="240"/>
      <c r="H240" s="242">
        <f>SUM(H241:H244)</f>
        <v>980411744</v>
      </c>
      <c r="I240" s="234">
        <v>1</v>
      </c>
      <c r="J240" s="242">
        <f>SUM(J241:J244)</f>
        <v>1078452918.4000001</v>
      </c>
      <c r="K240" s="234">
        <v>1</v>
      </c>
      <c r="L240" s="242">
        <f>SUM(L241:L244)</f>
        <v>1186298210.24</v>
      </c>
      <c r="M240" s="234">
        <v>1</v>
      </c>
      <c r="N240" s="242">
        <f>SUM(N241:N244)</f>
        <v>1304928031.2640002</v>
      </c>
      <c r="O240" s="234">
        <v>1</v>
      </c>
      <c r="P240" s="242">
        <f>SUM(P241:P244)</f>
        <v>1435420834.3903999</v>
      </c>
      <c r="Q240" s="244">
        <v>1</v>
      </c>
      <c r="R240" s="242">
        <f>SUM(R241:R244)</f>
        <v>1578962917.8294401</v>
      </c>
      <c r="S240" s="244">
        <v>1</v>
      </c>
      <c r="T240" s="242">
        <f>SUM(T241:T244)</f>
        <v>1578962917.8294401</v>
      </c>
      <c r="U240" s="243" t="s">
        <v>592</v>
      </c>
      <c r="V240" s="245"/>
    </row>
    <row r="241" spans="2:22" ht="22.5" x14ac:dyDescent="0.2">
      <c r="B241" s="252"/>
      <c r="C241" s="249"/>
      <c r="D241" s="239" t="s">
        <v>82</v>
      </c>
      <c r="E241" s="87" t="s">
        <v>292</v>
      </c>
      <c r="F241" s="88" t="s">
        <v>84</v>
      </c>
      <c r="G241" s="88"/>
      <c r="H241" s="235">
        <v>815854227</v>
      </c>
      <c r="I241" s="241" t="s">
        <v>263</v>
      </c>
      <c r="J241" s="237">
        <f>H241+(H241*10%)</f>
        <v>897439649.70000005</v>
      </c>
      <c r="K241" s="241" t="s">
        <v>263</v>
      </c>
      <c r="L241" s="237">
        <f>J241+(J241*10%)</f>
        <v>987183614.67000008</v>
      </c>
      <c r="M241" s="241" t="s">
        <v>263</v>
      </c>
      <c r="N241" s="237">
        <f>L241+(L241*10%)</f>
        <v>1085901976.1370001</v>
      </c>
      <c r="O241" s="241" t="s">
        <v>263</v>
      </c>
      <c r="P241" s="237">
        <f>N241+(N241*10%)</f>
        <v>1194492173.7507</v>
      </c>
      <c r="Q241" s="246" t="s">
        <v>263</v>
      </c>
      <c r="R241" s="237">
        <f>P241+(P241*10%)</f>
        <v>1313941391.1257701</v>
      </c>
      <c r="S241" s="246" t="s">
        <v>263</v>
      </c>
      <c r="T241" s="235">
        <v>1313941391.1257701</v>
      </c>
      <c r="U241" s="243" t="s">
        <v>592</v>
      </c>
      <c r="V241" s="245" t="s">
        <v>23</v>
      </c>
    </row>
    <row r="242" spans="2:22" x14ac:dyDescent="0.2">
      <c r="B242" s="252"/>
      <c r="C242" s="249"/>
      <c r="D242" s="239" t="s">
        <v>78</v>
      </c>
      <c r="E242" s="87" t="s">
        <v>293</v>
      </c>
      <c r="F242" s="88" t="s">
        <v>272</v>
      </c>
      <c r="G242" s="88"/>
      <c r="H242" s="235">
        <v>19250000</v>
      </c>
      <c r="I242" s="241" t="s">
        <v>97</v>
      </c>
      <c r="J242" s="237">
        <f t="shared" ref="J242:R254" si="40">H242+(H242*10%)</f>
        <v>21175000</v>
      </c>
      <c r="K242" s="241" t="s">
        <v>97</v>
      </c>
      <c r="L242" s="237">
        <f t="shared" ref="L242:L244" si="41">J242+(J242*10%)</f>
        <v>23292500</v>
      </c>
      <c r="M242" s="241" t="s">
        <v>97</v>
      </c>
      <c r="N242" s="237">
        <f t="shared" ref="N242:N244" si="42">L242+(L242*10%)</f>
        <v>25621750</v>
      </c>
      <c r="O242" s="241" t="s">
        <v>97</v>
      </c>
      <c r="P242" s="237">
        <f t="shared" ref="P242:P244" si="43">N242+(N242*10%)</f>
        <v>28183925</v>
      </c>
      <c r="Q242" s="246" t="s">
        <v>97</v>
      </c>
      <c r="R242" s="237">
        <f t="shared" ref="R242:R244" si="44">P242+(P242*10%)</f>
        <v>31002317.5</v>
      </c>
      <c r="S242" s="246" t="s">
        <v>97</v>
      </c>
      <c r="T242" s="235">
        <v>31002317.5</v>
      </c>
      <c r="U242" s="243" t="s">
        <v>592</v>
      </c>
      <c r="V242" s="245" t="s">
        <v>23</v>
      </c>
    </row>
    <row r="243" spans="2:22" ht="22.5" x14ac:dyDescent="0.2">
      <c r="B243" s="252"/>
      <c r="C243" s="249"/>
      <c r="D243" s="239" t="s">
        <v>606</v>
      </c>
      <c r="E243" s="87" t="s">
        <v>607</v>
      </c>
      <c r="F243" s="88" t="s">
        <v>608</v>
      </c>
      <c r="G243" s="88"/>
      <c r="H243" s="235">
        <v>75637500</v>
      </c>
      <c r="I243" s="241" t="s">
        <v>268</v>
      </c>
      <c r="J243" s="237">
        <f t="shared" si="40"/>
        <v>83201250</v>
      </c>
      <c r="K243" s="241" t="s">
        <v>268</v>
      </c>
      <c r="L243" s="237">
        <f t="shared" si="40"/>
        <v>91521375</v>
      </c>
      <c r="M243" s="241" t="s">
        <v>268</v>
      </c>
      <c r="N243" s="237">
        <f t="shared" si="40"/>
        <v>100673512.5</v>
      </c>
      <c r="O243" s="241" t="s">
        <v>268</v>
      </c>
      <c r="P243" s="237">
        <f t="shared" si="40"/>
        <v>110740863.75</v>
      </c>
      <c r="Q243" s="241" t="s">
        <v>268</v>
      </c>
      <c r="R243" s="237">
        <f t="shared" si="40"/>
        <v>121814950.125</v>
      </c>
      <c r="S243" s="241" t="s">
        <v>268</v>
      </c>
      <c r="T243" s="235">
        <v>121814950.125</v>
      </c>
      <c r="U243" s="243" t="s">
        <v>592</v>
      </c>
      <c r="V243" s="245"/>
    </row>
    <row r="244" spans="2:22" ht="22.5" x14ac:dyDescent="0.2">
      <c r="B244" s="252"/>
      <c r="C244" s="249"/>
      <c r="D244" s="239" t="s">
        <v>75</v>
      </c>
      <c r="E244" s="87" t="s">
        <v>294</v>
      </c>
      <c r="F244" s="88" t="s">
        <v>77</v>
      </c>
      <c r="G244" s="88"/>
      <c r="H244" s="235">
        <v>69670017</v>
      </c>
      <c r="I244" s="241" t="s">
        <v>97</v>
      </c>
      <c r="J244" s="237">
        <f t="shared" si="40"/>
        <v>76637018.700000003</v>
      </c>
      <c r="K244" s="241" t="s">
        <v>97</v>
      </c>
      <c r="L244" s="237">
        <f t="shared" si="41"/>
        <v>84300720.570000008</v>
      </c>
      <c r="M244" s="241" t="s">
        <v>97</v>
      </c>
      <c r="N244" s="237">
        <f t="shared" si="42"/>
        <v>92730792.627000004</v>
      </c>
      <c r="O244" s="241" t="s">
        <v>97</v>
      </c>
      <c r="P244" s="237">
        <f t="shared" si="43"/>
        <v>102003871.88970001</v>
      </c>
      <c r="Q244" s="246" t="s">
        <v>97</v>
      </c>
      <c r="R244" s="237">
        <f t="shared" si="44"/>
        <v>112204259.07867001</v>
      </c>
      <c r="S244" s="246" t="s">
        <v>97</v>
      </c>
      <c r="T244" s="235">
        <v>112204259.07867001</v>
      </c>
      <c r="U244" s="243" t="s">
        <v>592</v>
      </c>
      <c r="V244" s="245" t="s">
        <v>23</v>
      </c>
    </row>
    <row r="245" spans="2:22" ht="21" x14ac:dyDescent="0.2">
      <c r="B245" s="252"/>
      <c r="C245" s="249"/>
      <c r="D245" s="239" t="s">
        <v>609</v>
      </c>
      <c r="E245" s="81" t="s">
        <v>610</v>
      </c>
      <c r="F245" s="240" t="s">
        <v>611</v>
      </c>
      <c r="G245" s="240"/>
      <c r="H245" s="242">
        <f>SUM(H246)</f>
        <v>13870000</v>
      </c>
      <c r="I245" s="234" t="s">
        <v>612</v>
      </c>
      <c r="J245" s="242">
        <f>SUM(J246)</f>
        <v>15257000</v>
      </c>
      <c r="K245" s="234" t="s">
        <v>612</v>
      </c>
      <c r="L245" s="242">
        <f>SUM(L246)</f>
        <v>16782700</v>
      </c>
      <c r="M245" s="234" t="s">
        <v>612</v>
      </c>
      <c r="N245" s="242">
        <f>SUM(N246)</f>
        <v>18460970</v>
      </c>
      <c r="O245" s="234" t="s">
        <v>612</v>
      </c>
      <c r="P245" s="242">
        <f>SUM(P246)</f>
        <v>20307067</v>
      </c>
      <c r="Q245" s="234" t="s">
        <v>612</v>
      </c>
      <c r="R245" s="242">
        <f>SUM(R246)</f>
        <v>22337773.699999999</v>
      </c>
      <c r="S245" s="234" t="s">
        <v>612</v>
      </c>
      <c r="T245" s="242">
        <f>SUM(T246)</f>
        <v>22337773.699999999</v>
      </c>
      <c r="U245" s="243" t="s">
        <v>592</v>
      </c>
      <c r="V245" s="245"/>
    </row>
    <row r="246" spans="2:22" x14ac:dyDescent="0.2">
      <c r="B246" s="252"/>
      <c r="C246" s="249"/>
      <c r="D246" s="239" t="s">
        <v>613</v>
      </c>
      <c r="E246" s="88" t="s">
        <v>614</v>
      </c>
      <c r="F246" s="88" t="s">
        <v>611</v>
      </c>
      <c r="G246" s="88"/>
      <c r="H246" s="235">
        <v>13870000</v>
      </c>
      <c r="I246" s="234" t="s">
        <v>612</v>
      </c>
      <c r="J246" s="237">
        <f t="shared" si="40"/>
        <v>15257000</v>
      </c>
      <c r="K246" s="234" t="s">
        <v>612</v>
      </c>
      <c r="L246" s="237">
        <f t="shared" si="40"/>
        <v>16782700</v>
      </c>
      <c r="M246" s="234" t="s">
        <v>612</v>
      </c>
      <c r="N246" s="237">
        <f t="shared" si="40"/>
        <v>18460970</v>
      </c>
      <c r="O246" s="234" t="s">
        <v>612</v>
      </c>
      <c r="P246" s="237">
        <f t="shared" si="40"/>
        <v>20307067</v>
      </c>
      <c r="Q246" s="234" t="s">
        <v>612</v>
      </c>
      <c r="R246" s="237">
        <f t="shared" si="40"/>
        <v>22337773.699999999</v>
      </c>
      <c r="S246" s="234" t="s">
        <v>612</v>
      </c>
      <c r="T246" s="235">
        <v>22337773.699999999</v>
      </c>
      <c r="U246" s="243" t="s">
        <v>592</v>
      </c>
      <c r="V246" s="245" t="s">
        <v>23</v>
      </c>
    </row>
    <row r="247" spans="2:22" ht="21" x14ac:dyDescent="0.2">
      <c r="B247" s="252"/>
      <c r="C247" s="249"/>
      <c r="D247" s="239" t="s">
        <v>615</v>
      </c>
      <c r="E247" s="240" t="s">
        <v>616</v>
      </c>
      <c r="F247" s="81" t="s">
        <v>617</v>
      </c>
      <c r="G247" s="81"/>
      <c r="H247" s="242">
        <f>SUM(H248:H250)</f>
        <v>1110322958</v>
      </c>
      <c r="I247" s="234">
        <v>0.9</v>
      </c>
      <c r="J247" s="242">
        <f>SUM(J248:J250)</f>
        <v>1221355253.8</v>
      </c>
      <c r="K247" s="234">
        <v>0.9</v>
      </c>
      <c r="L247" s="242">
        <f>SUM(L248:L250)</f>
        <v>1343490779.1799998</v>
      </c>
      <c r="M247" s="234">
        <v>0.9</v>
      </c>
      <c r="N247" s="242">
        <f>SUM(N248:N250)</f>
        <v>1477839857.098</v>
      </c>
      <c r="O247" s="234">
        <v>0.9</v>
      </c>
      <c r="P247" s="242">
        <f>SUM(P248:P250)</f>
        <v>1625623842.8077998</v>
      </c>
      <c r="Q247" s="244">
        <v>0.9</v>
      </c>
      <c r="R247" s="242">
        <f>SUM(R248:R250)</f>
        <v>1788186227.0885799</v>
      </c>
      <c r="S247" s="244">
        <v>0.9</v>
      </c>
      <c r="T247" s="242">
        <f>SUM(T248:T250)</f>
        <v>1788186227.0885799</v>
      </c>
      <c r="U247" s="243" t="s">
        <v>592</v>
      </c>
      <c r="V247" s="245" t="s">
        <v>23</v>
      </c>
    </row>
    <row r="248" spans="2:22" x14ac:dyDescent="0.2">
      <c r="B248" s="252"/>
      <c r="C248" s="249"/>
      <c r="D248" s="239" t="s">
        <v>618</v>
      </c>
      <c r="E248" s="88" t="s">
        <v>619</v>
      </c>
      <c r="F248" s="88" t="s">
        <v>620</v>
      </c>
      <c r="G248" s="88"/>
      <c r="H248" s="235">
        <v>220169000</v>
      </c>
      <c r="I248" s="234" t="s">
        <v>621</v>
      </c>
      <c r="J248" s="237">
        <f t="shared" si="40"/>
        <v>242185900</v>
      </c>
      <c r="K248" s="234" t="s">
        <v>621</v>
      </c>
      <c r="L248" s="237">
        <f t="shared" si="40"/>
        <v>266404490</v>
      </c>
      <c r="M248" s="234" t="s">
        <v>621</v>
      </c>
      <c r="N248" s="237">
        <f t="shared" si="40"/>
        <v>293044939</v>
      </c>
      <c r="O248" s="234" t="s">
        <v>621</v>
      </c>
      <c r="P248" s="237">
        <f t="shared" si="40"/>
        <v>322349432.89999998</v>
      </c>
      <c r="Q248" s="244" t="s">
        <v>621</v>
      </c>
      <c r="R248" s="237">
        <f t="shared" si="40"/>
        <v>354584376.19</v>
      </c>
      <c r="S248" s="244" t="s">
        <v>621</v>
      </c>
      <c r="T248" s="237">
        <v>354584376.19</v>
      </c>
      <c r="U248" s="243" t="s">
        <v>592</v>
      </c>
      <c r="V248" s="245"/>
    </row>
    <row r="249" spans="2:22" x14ac:dyDescent="0.2">
      <c r="B249" s="252"/>
      <c r="C249" s="249"/>
      <c r="D249" s="239" t="s">
        <v>622</v>
      </c>
      <c r="E249" s="87" t="s">
        <v>623</v>
      </c>
      <c r="F249" s="87" t="s">
        <v>624</v>
      </c>
      <c r="G249" s="87"/>
      <c r="H249" s="235">
        <v>200688000</v>
      </c>
      <c r="I249" s="236" t="s">
        <v>625</v>
      </c>
      <c r="J249" s="237">
        <f t="shared" si="40"/>
        <v>220756800</v>
      </c>
      <c r="K249" s="236" t="s">
        <v>625</v>
      </c>
      <c r="L249" s="237">
        <f t="shared" si="40"/>
        <v>242832480</v>
      </c>
      <c r="M249" s="236" t="s">
        <v>625</v>
      </c>
      <c r="N249" s="237">
        <f t="shared" si="40"/>
        <v>267115728</v>
      </c>
      <c r="O249" s="236" t="s">
        <v>625</v>
      </c>
      <c r="P249" s="237">
        <f t="shared" si="40"/>
        <v>293827300.80000001</v>
      </c>
      <c r="Q249" s="245" t="s">
        <v>625</v>
      </c>
      <c r="R249" s="237">
        <f t="shared" si="40"/>
        <v>323210030.88</v>
      </c>
      <c r="S249" s="245" t="s">
        <v>625</v>
      </c>
      <c r="T249" s="237">
        <v>323210030.88</v>
      </c>
      <c r="U249" s="243" t="s">
        <v>592</v>
      </c>
      <c r="V249" s="245" t="s">
        <v>23</v>
      </c>
    </row>
    <row r="250" spans="2:22" x14ac:dyDescent="0.2">
      <c r="B250" s="252"/>
      <c r="C250" s="249"/>
      <c r="D250" s="239" t="s">
        <v>626</v>
      </c>
      <c r="E250" s="87" t="s">
        <v>627</v>
      </c>
      <c r="F250" s="87" t="s">
        <v>628</v>
      </c>
      <c r="G250" s="87"/>
      <c r="H250" s="235">
        <v>689465958</v>
      </c>
      <c r="I250" s="236" t="s">
        <v>329</v>
      </c>
      <c r="J250" s="237">
        <f t="shared" si="40"/>
        <v>758412553.79999995</v>
      </c>
      <c r="K250" s="236" t="s">
        <v>329</v>
      </c>
      <c r="L250" s="237">
        <f t="shared" si="40"/>
        <v>834253809.17999995</v>
      </c>
      <c r="M250" s="236" t="s">
        <v>329</v>
      </c>
      <c r="N250" s="237">
        <f t="shared" si="40"/>
        <v>917679190.09799993</v>
      </c>
      <c r="O250" s="236" t="s">
        <v>329</v>
      </c>
      <c r="P250" s="237">
        <f t="shared" si="40"/>
        <v>1009447109.1077999</v>
      </c>
      <c r="Q250" s="245" t="s">
        <v>329</v>
      </c>
      <c r="R250" s="237">
        <f t="shared" si="40"/>
        <v>1110391820.01858</v>
      </c>
      <c r="S250" s="245" t="s">
        <v>329</v>
      </c>
      <c r="T250" s="237">
        <v>1110391820.01858</v>
      </c>
      <c r="U250" s="243" t="s">
        <v>592</v>
      </c>
      <c r="V250" s="245" t="s">
        <v>23</v>
      </c>
    </row>
    <row r="251" spans="2:22" x14ac:dyDescent="0.2">
      <c r="B251" s="252"/>
      <c r="C251" s="249"/>
      <c r="D251" s="239" t="s">
        <v>629</v>
      </c>
      <c r="E251" s="240" t="s">
        <v>630</v>
      </c>
      <c r="F251" s="240" t="s">
        <v>631</v>
      </c>
      <c r="G251" s="240"/>
      <c r="H251" s="242">
        <f>SUM(H252:H254)</f>
        <v>1449163608</v>
      </c>
      <c r="I251" s="234">
        <v>0.9</v>
      </c>
      <c r="J251" s="242">
        <f>SUM(J252:J254)</f>
        <v>1694079968.8</v>
      </c>
      <c r="K251" s="234">
        <v>0.9</v>
      </c>
      <c r="L251" s="242">
        <f>SUM(L252:L254)</f>
        <v>1963487965.6799998</v>
      </c>
      <c r="M251" s="234">
        <v>0.9</v>
      </c>
      <c r="N251" s="242">
        <f>SUM(N252:N254)</f>
        <v>2259836762.2480001</v>
      </c>
      <c r="O251" s="234">
        <v>0.9</v>
      </c>
      <c r="P251" s="242">
        <f>SUM(P252:P254)</f>
        <v>2585820438.4727998</v>
      </c>
      <c r="Q251" s="244">
        <v>0.9</v>
      </c>
      <c r="R251" s="242">
        <f>SUM(R252:R254)</f>
        <v>2944402482.3200798</v>
      </c>
      <c r="S251" s="244">
        <v>0.9</v>
      </c>
      <c r="T251" s="242">
        <f>SUM(T252:T254)</f>
        <v>2944402482.7600799</v>
      </c>
      <c r="U251" s="243" t="s">
        <v>592</v>
      </c>
      <c r="V251" s="3" t="s">
        <v>23</v>
      </c>
    </row>
    <row r="252" spans="2:22" x14ac:dyDescent="0.2">
      <c r="B252" s="252"/>
      <c r="C252" s="249"/>
      <c r="D252" s="239" t="s">
        <v>632</v>
      </c>
      <c r="E252" s="87" t="s">
        <v>633</v>
      </c>
      <c r="F252" s="88" t="s">
        <v>634</v>
      </c>
      <c r="G252" s="88"/>
      <c r="H252" s="235">
        <v>1070598108</v>
      </c>
      <c r="I252" s="241" t="s">
        <v>635</v>
      </c>
      <c r="J252" s="237">
        <f t="shared" si="40"/>
        <v>1177657918.8</v>
      </c>
      <c r="K252" s="241" t="s">
        <v>635</v>
      </c>
      <c r="L252" s="237">
        <f t="shared" si="40"/>
        <v>1295423710.6799998</v>
      </c>
      <c r="M252" s="241" t="s">
        <v>635</v>
      </c>
      <c r="N252" s="237">
        <f t="shared" si="40"/>
        <v>1424966081.7479999</v>
      </c>
      <c r="O252" s="241" t="s">
        <v>635</v>
      </c>
      <c r="P252" s="237">
        <f t="shared" si="40"/>
        <v>1567462689.9227998</v>
      </c>
      <c r="Q252" s="246" t="s">
        <v>635</v>
      </c>
      <c r="R252" s="237">
        <f t="shared" si="40"/>
        <v>1724208958.9150798</v>
      </c>
      <c r="S252" s="246" t="s">
        <v>635</v>
      </c>
      <c r="T252" s="237">
        <v>1724208958.9150798</v>
      </c>
      <c r="U252" s="243" t="s">
        <v>592</v>
      </c>
      <c r="V252" s="3"/>
    </row>
    <row r="253" spans="2:22" ht="22.5" x14ac:dyDescent="0.2">
      <c r="B253" s="252"/>
      <c r="C253" s="249"/>
      <c r="D253" s="87" t="s">
        <v>636</v>
      </c>
      <c r="E253" s="87" t="s">
        <v>637</v>
      </c>
      <c r="F253" s="88" t="s">
        <v>638</v>
      </c>
      <c r="G253" s="88"/>
      <c r="H253" s="235">
        <v>231856000</v>
      </c>
      <c r="I253" s="236" t="s">
        <v>639</v>
      </c>
      <c r="J253" s="237">
        <f>H253+(H253*10%)+100000000</f>
        <v>355041600</v>
      </c>
      <c r="K253" s="236" t="s">
        <v>640</v>
      </c>
      <c r="L253" s="237">
        <f>J253+(J253*10%)+100000000</f>
        <v>490545760</v>
      </c>
      <c r="M253" s="236" t="s">
        <v>641</v>
      </c>
      <c r="N253" s="237">
        <f>L253+(L253*10%)+100000000</f>
        <v>639600336</v>
      </c>
      <c r="O253" s="236" t="s">
        <v>642</v>
      </c>
      <c r="P253" s="237">
        <f>N253+(N253*10%)+100000000</f>
        <v>803560369.60000002</v>
      </c>
      <c r="Q253" s="236" t="s">
        <v>643</v>
      </c>
      <c r="R253" s="237">
        <f>P253+(P253*10%)+100000000</f>
        <v>983916406.56000006</v>
      </c>
      <c r="S253" s="236" t="s">
        <v>643</v>
      </c>
      <c r="T253" s="237">
        <v>983916407</v>
      </c>
      <c r="U253" s="243" t="s">
        <v>592</v>
      </c>
      <c r="V253" s="3" t="s">
        <v>23</v>
      </c>
    </row>
    <row r="254" spans="2:22" x14ac:dyDescent="0.2">
      <c r="B254" s="253"/>
      <c r="C254" s="250"/>
      <c r="D254" s="239" t="s">
        <v>644</v>
      </c>
      <c r="E254" s="87" t="s">
        <v>645</v>
      </c>
      <c r="F254" s="87" t="s">
        <v>646</v>
      </c>
      <c r="G254" s="87"/>
      <c r="H254" s="235">
        <v>146709500</v>
      </c>
      <c r="I254" s="236" t="s">
        <v>528</v>
      </c>
      <c r="J254" s="237">
        <f t="shared" si="40"/>
        <v>161380450</v>
      </c>
      <c r="K254" s="236" t="s">
        <v>528</v>
      </c>
      <c r="L254" s="237">
        <f t="shared" si="40"/>
        <v>177518495</v>
      </c>
      <c r="M254" s="236" t="s">
        <v>528</v>
      </c>
      <c r="N254" s="237">
        <f t="shared" si="40"/>
        <v>195270344.5</v>
      </c>
      <c r="O254" s="236" t="s">
        <v>528</v>
      </c>
      <c r="P254" s="237">
        <f t="shared" si="40"/>
        <v>214797378.94999999</v>
      </c>
      <c r="Q254" s="245" t="s">
        <v>528</v>
      </c>
      <c r="R254" s="237">
        <f t="shared" si="40"/>
        <v>236277116.845</v>
      </c>
      <c r="S254" s="245" t="s">
        <v>528</v>
      </c>
      <c r="T254" s="237">
        <v>236277116.845</v>
      </c>
      <c r="U254" s="243" t="s">
        <v>592</v>
      </c>
      <c r="V254" s="3" t="s">
        <v>23</v>
      </c>
    </row>
    <row r="256" spans="2:22" ht="42" x14ac:dyDescent="0.2">
      <c r="B256" s="440" t="s">
        <v>714</v>
      </c>
      <c r="C256" s="440" t="s">
        <v>715</v>
      </c>
      <c r="D256" s="441">
        <v>1.0009999999999999</v>
      </c>
      <c r="E256" s="440" t="s">
        <v>287</v>
      </c>
      <c r="F256" s="442" t="s">
        <v>716</v>
      </c>
      <c r="G256" s="398">
        <v>1</v>
      </c>
      <c r="H256" s="399">
        <v>103877735968</v>
      </c>
      <c r="I256" s="398">
        <v>1</v>
      </c>
      <c r="J256" s="399">
        <f>J257+J262+J269+J275+J285+J287+J294+J302+J305</f>
        <v>135031967927.94</v>
      </c>
      <c r="K256" s="398">
        <v>1</v>
      </c>
      <c r="L256" s="399">
        <f>L257+L262+L269+L275+L285+L287+L294+L302+L305</f>
        <v>152609649475.69598</v>
      </c>
      <c r="M256" s="398">
        <v>1</v>
      </c>
      <c r="N256" s="399">
        <f>N257+N262+N269+N275+N285+N287+N294+N302+N305</f>
        <v>164903146238.03146</v>
      </c>
      <c r="O256" s="398">
        <v>1</v>
      </c>
      <c r="P256" s="399">
        <f>P257+P262+P269+P275+P285+P287+P294+P302+P305</f>
        <v>169422008552.21017</v>
      </c>
      <c r="Q256" s="398">
        <v>1</v>
      </c>
      <c r="R256" s="399">
        <f>R257+R262+R269+R275+R285+R287+R294+R302+R305</f>
        <v>177398502675.56311</v>
      </c>
      <c r="S256" s="234">
        <v>1</v>
      </c>
      <c r="T256" s="242">
        <f>R256</f>
        <v>177398502675.56311</v>
      </c>
      <c r="U256" s="232" t="s">
        <v>688</v>
      </c>
      <c r="V256" s="232" t="s">
        <v>87</v>
      </c>
    </row>
    <row r="257" spans="2:22" ht="31.5" x14ac:dyDescent="0.2">
      <c r="B257" s="443"/>
      <c r="C257" s="440" t="s">
        <v>717</v>
      </c>
      <c r="D257" s="441" t="s">
        <v>718</v>
      </c>
      <c r="E257" s="444" t="s">
        <v>445</v>
      </c>
      <c r="F257" s="442" t="s">
        <v>179</v>
      </c>
      <c r="G257" s="400" t="s">
        <v>655</v>
      </c>
      <c r="H257" s="399">
        <f>SUM(H258:H259)</f>
        <v>200000000</v>
      </c>
      <c r="I257" s="401" t="s">
        <v>656</v>
      </c>
      <c r="J257" s="402">
        <f>SUM(J258:J259)</f>
        <v>200000000</v>
      </c>
      <c r="K257" s="403" t="s">
        <v>656</v>
      </c>
      <c r="L257" s="402">
        <f t="shared" ref="L257:R257" si="45">SUM(L258:L259)</f>
        <v>277500000</v>
      </c>
      <c r="M257" s="403" t="s">
        <v>657</v>
      </c>
      <c r="N257" s="402">
        <f t="shared" si="45"/>
        <v>325250000</v>
      </c>
      <c r="O257" s="403" t="s">
        <v>658</v>
      </c>
      <c r="P257" s="402">
        <f t="shared" ref="P257" si="46">SUM(P258:P259)</f>
        <v>372787500</v>
      </c>
      <c r="Q257" s="403" t="s">
        <v>659</v>
      </c>
      <c r="R257" s="402">
        <f t="shared" si="45"/>
        <v>430955625</v>
      </c>
      <c r="S257" s="430" t="s">
        <v>689</v>
      </c>
      <c r="T257" s="430">
        <f>SUM(T258:T259)</f>
        <v>1806493125</v>
      </c>
      <c r="U257" s="431"/>
      <c r="V257" s="431"/>
    </row>
    <row r="258" spans="2:22" ht="22.5" x14ac:dyDescent="0.2">
      <c r="B258" s="443"/>
      <c r="C258" s="445"/>
      <c r="D258" s="236" t="s">
        <v>719</v>
      </c>
      <c r="E258" s="446" t="s">
        <v>720</v>
      </c>
      <c r="F258" s="446" t="s">
        <v>115</v>
      </c>
      <c r="G258" s="404" t="s">
        <v>660</v>
      </c>
      <c r="H258" s="405">
        <v>175000000</v>
      </c>
      <c r="I258" s="406" t="s">
        <v>660</v>
      </c>
      <c r="J258" s="405">
        <v>175000000</v>
      </c>
      <c r="K258" s="407" t="s">
        <v>660</v>
      </c>
      <c r="L258" s="405">
        <f>J258*30%+J258</f>
        <v>227500000</v>
      </c>
      <c r="M258" s="407" t="s">
        <v>660</v>
      </c>
      <c r="N258" s="405">
        <f>L258*10%+L258</f>
        <v>250250000</v>
      </c>
      <c r="O258" s="407" t="s">
        <v>660</v>
      </c>
      <c r="P258" s="405">
        <f>N258*15%+N258</f>
        <v>287787500</v>
      </c>
      <c r="Q258" s="407" t="s">
        <v>660</v>
      </c>
      <c r="R258" s="405">
        <f>P258*15%+P258</f>
        <v>330955625</v>
      </c>
      <c r="S258" s="432" t="s">
        <v>690</v>
      </c>
      <c r="T258" s="235">
        <f>H258+J258+L258+N258+P258+R258</f>
        <v>1446493125</v>
      </c>
      <c r="U258" s="433"/>
      <c r="V258" s="101"/>
    </row>
    <row r="259" spans="2:22" ht="22.5" x14ac:dyDescent="0.2">
      <c r="B259" s="443"/>
      <c r="C259" s="447"/>
      <c r="D259" s="236" t="s">
        <v>721</v>
      </c>
      <c r="E259" s="446" t="s">
        <v>722</v>
      </c>
      <c r="F259" s="446" t="s">
        <v>723</v>
      </c>
      <c r="G259" s="404" t="s">
        <v>91</v>
      </c>
      <c r="H259" s="405">
        <v>25000000</v>
      </c>
      <c r="I259" s="406" t="s">
        <v>91</v>
      </c>
      <c r="J259" s="405">
        <v>25000000</v>
      </c>
      <c r="K259" s="407" t="s">
        <v>91</v>
      </c>
      <c r="L259" s="405">
        <v>50000000</v>
      </c>
      <c r="M259" s="407" t="s">
        <v>91</v>
      </c>
      <c r="N259" s="405">
        <v>75000000</v>
      </c>
      <c r="O259" s="407" t="s">
        <v>91</v>
      </c>
      <c r="P259" s="405">
        <v>85000000</v>
      </c>
      <c r="Q259" s="407" t="s">
        <v>91</v>
      </c>
      <c r="R259" s="405">
        <v>100000000</v>
      </c>
      <c r="S259" s="432" t="s">
        <v>691</v>
      </c>
      <c r="T259" s="235">
        <f>H259+J259+L259+N259+P259+R259</f>
        <v>360000000</v>
      </c>
      <c r="U259" s="433"/>
      <c r="V259" s="101"/>
    </row>
    <row r="260" spans="2:22" x14ac:dyDescent="0.2">
      <c r="B260" s="443"/>
      <c r="C260" s="447"/>
      <c r="D260" s="236"/>
      <c r="E260" s="448"/>
      <c r="F260" s="446"/>
      <c r="G260" s="404"/>
      <c r="H260" s="405"/>
      <c r="I260" s="406"/>
      <c r="J260" s="405"/>
      <c r="K260" s="407"/>
      <c r="L260" s="405"/>
      <c r="M260" s="407"/>
      <c r="N260" s="405"/>
      <c r="O260" s="407"/>
      <c r="P260" s="405"/>
      <c r="Q260" s="407"/>
      <c r="R260" s="405"/>
      <c r="S260" s="432"/>
      <c r="T260" s="235"/>
      <c r="U260" s="433"/>
      <c r="V260" s="101"/>
    </row>
    <row r="261" spans="2:22" x14ac:dyDescent="0.2">
      <c r="B261" s="443"/>
      <c r="C261" s="449"/>
      <c r="D261" s="236"/>
      <c r="E261" s="448"/>
      <c r="F261" s="446"/>
      <c r="G261" s="404"/>
      <c r="H261" s="405"/>
      <c r="I261" s="406"/>
      <c r="J261" s="405"/>
      <c r="K261" s="407"/>
      <c r="L261" s="405"/>
      <c r="M261" s="407"/>
      <c r="N261" s="405"/>
      <c r="O261" s="407"/>
      <c r="P261" s="405"/>
      <c r="Q261" s="407"/>
      <c r="R261" s="405"/>
      <c r="S261" s="432"/>
      <c r="T261" s="235"/>
      <c r="U261" s="433"/>
      <c r="V261" s="101"/>
    </row>
    <row r="262" spans="2:22" ht="21" x14ac:dyDescent="0.2">
      <c r="B262" s="443"/>
      <c r="C262" s="442" t="s">
        <v>724</v>
      </c>
      <c r="D262" s="441" t="s">
        <v>725</v>
      </c>
      <c r="E262" s="450" t="s">
        <v>726</v>
      </c>
      <c r="F262" s="442" t="s">
        <v>727</v>
      </c>
      <c r="G262" s="398">
        <v>1</v>
      </c>
      <c r="H262" s="399">
        <f>SUM(H263:H266)</f>
        <v>54847963563</v>
      </c>
      <c r="I262" s="398">
        <v>1</v>
      </c>
      <c r="J262" s="399">
        <f>SUM(J263:J266)</f>
        <v>64673330260</v>
      </c>
      <c r="K262" s="398">
        <v>1</v>
      </c>
      <c r="L262" s="399">
        <f>SUM(L263:L266)</f>
        <v>67946161098</v>
      </c>
      <c r="M262" s="398">
        <v>1</v>
      </c>
      <c r="N262" s="399">
        <f>SUM(N263:N266)</f>
        <v>71343469152.899994</v>
      </c>
      <c r="O262" s="398">
        <v>1</v>
      </c>
      <c r="P262" s="399">
        <f>SUM(P263:P266)</f>
        <v>74760942637.800003</v>
      </c>
      <c r="Q262" s="398">
        <v>1</v>
      </c>
      <c r="R262" s="399">
        <f>SUM(R263:R266)</f>
        <v>80620026075.47699</v>
      </c>
      <c r="S262" s="233">
        <v>1</v>
      </c>
      <c r="T262" s="233">
        <f>SUM(T263:T266)</f>
        <v>414191892787.177</v>
      </c>
      <c r="U262" s="434"/>
      <c r="V262" s="101"/>
    </row>
    <row r="263" spans="2:22" ht="22.5" x14ac:dyDescent="0.2">
      <c r="B263" s="443"/>
      <c r="C263" s="445"/>
      <c r="D263" s="451" t="s">
        <v>728</v>
      </c>
      <c r="E263" s="452" t="s">
        <v>729</v>
      </c>
      <c r="F263" s="452" t="s">
        <v>730</v>
      </c>
      <c r="G263" s="408" t="s">
        <v>661</v>
      </c>
      <c r="H263" s="409">
        <v>54270652363</v>
      </c>
      <c r="I263" s="408" t="s">
        <v>661</v>
      </c>
      <c r="J263" s="409">
        <v>64000000000</v>
      </c>
      <c r="K263" s="408" t="s">
        <v>661</v>
      </c>
      <c r="L263" s="409">
        <f>J263*5%+J263</f>
        <v>67200000000</v>
      </c>
      <c r="M263" s="408" t="s">
        <v>661</v>
      </c>
      <c r="N263" s="409">
        <f>L263*5%+L263</f>
        <v>70560000000</v>
      </c>
      <c r="O263" s="408" t="s">
        <v>661</v>
      </c>
      <c r="P263" s="409">
        <f>L263*10%+L263</f>
        <v>73920000000</v>
      </c>
      <c r="Q263" s="408" t="s">
        <v>661</v>
      </c>
      <c r="R263" s="409">
        <f>N263*13%+N263</f>
        <v>79732800000</v>
      </c>
      <c r="S263" s="432" t="s">
        <v>692</v>
      </c>
      <c r="T263" s="235">
        <f>H263+J263+L263+N263+P263+R263</f>
        <v>409683452363</v>
      </c>
      <c r="U263" s="101"/>
      <c r="V263" s="101"/>
    </row>
    <row r="264" spans="2:22" ht="22.5" x14ac:dyDescent="0.2">
      <c r="B264" s="443"/>
      <c r="C264" s="447"/>
      <c r="D264" s="451" t="s">
        <v>731</v>
      </c>
      <c r="E264" s="452" t="s">
        <v>732</v>
      </c>
      <c r="F264" s="452" t="s">
        <v>733</v>
      </c>
      <c r="G264" s="408" t="s">
        <v>662</v>
      </c>
      <c r="H264" s="410">
        <v>491336200</v>
      </c>
      <c r="I264" s="408" t="s">
        <v>662</v>
      </c>
      <c r="J264" s="409">
        <f>H264*5%+H264</f>
        <v>515903010</v>
      </c>
      <c r="K264" s="411" t="s">
        <v>662</v>
      </c>
      <c r="L264" s="409">
        <f>J264*5%+J264</f>
        <v>541698160.5</v>
      </c>
      <c r="M264" s="411" t="s">
        <v>662</v>
      </c>
      <c r="N264" s="409">
        <f>L264*5%+L264</f>
        <v>568783068.52499998</v>
      </c>
      <c r="O264" s="411" t="s">
        <v>662</v>
      </c>
      <c r="P264" s="409">
        <f t="shared" ref="P264:P266" si="47">L264*10%+L264</f>
        <v>595867976.54999995</v>
      </c>
      <c r="Q264" s="411" t="s">
        <v>662</v>
      </c>
      <c r="R264" s="409">
        <f t="shared" ref="R264:R266" si="48">N264*13%+N264</f>
        <v>642724867.43324995</v>
      </c>
      <c r="S264" s="432" t="s">
        <v>693</v>
      </c>
      <c r="T264" s="235">
        <f t="shared" ref="T264:T266" si="49">H264+J264+L264+N264+P264+R264</f>
        <v>3356313283.0082498</v>
      </c>
      <c r="U264" s="101"/>
      <c r="V264" s="101"/>
    </row>
    <row r="265" spans="2:22" ht="22.5" x14ac:dyDescent="0.2">
      <c r="B265" s="443"/>
      <c r="C265" s="447"/>
      <c r="D265" s="236" t="s">
        <v>734</v>
      </c>
      <c r="E265" s="453" t="s">
        <v>735</v>
      </c>
      <c r="F265" s="453" t="s">
        <v>736</v>
      </c>
      <c r="G265" s="412" t="s">
        <v>663</v>
      </c>
      <c r="H265" s="413">
        <v>32530000</v>
      </c>
      <c r="I265" s="412" t="s">
        <v>663</v>
      </c>
      <c r="J265" s="414">
        <f>H265*80%+H265</f>
        <v>58554000</v>
      </c>
      <c r="K265" s="412" t="s">
        <v>663</v>
      </c>
      <c r="L265" s="415">
        <f>J265*55%+J265</f>
        <v>90758700</v>
      </c>
      <c r="M265" s="412" t="s">
        <v>663</v>
      </c>
      <c r="N265" s="414">
        <f>L265*5%+L265</f>
        <v>95296635</v>
      </c>
      <c r="O265" s="412" t="s">
        <v>663</v>
      </c>
      <c r="P265" s="414">
        <v>120000000</v>
      </c>
      <c r="Q265" s="412" t="s">
        <v>663</v>
      </c>
      <c r="R265" s="414">
        <f>N265*15%+N265</f>
        <v>109591130.25</v>
      </c>
      <c r="S265" s="432" t="s">
        <v>693</v>
      </c>
      <c r="T265" s="235">
        <f t="shared" si="49"/>
        <v>506730465.25</v>
      </c>
      <c r="U265" s="101"/>
      <c r="V265" s="101"/>
    </row>
    <row r="266" spans="2:22" ht="33.75" x14ac:dyDescent="0.2">
      <c r="B266" s="443"/>
      <c r="C266" s="447"/>
      <c r="D266" s="236" t="s">
        <v>737</v>
      </c>
      <c r="E266" s="454" t="s">
        <v>738</v>
      </c>
      <c r="F266" s="454" t="s">
        <v>739</v>
      </c>
      <c r="G266" s="412" t="s">
        <v>431</v>
      </c>
      <c r="H266" s="413">
        <v>53445000</v>
      </c>
      <c r="I266" s="412" t="s">
        <v>431</v>
      </c>
      <c r="J266" s="414">
        <f>H266*85%+H266</f>
        <v>98873250</v>
      </c>
      <c r="K266" s="412" t="s">
        <v>431</v>
      </c>
      <c r="L266" s="415">
        <f>J266*15%+J266</f>
        <v>113704237.5</v>
      </c>
      <c r="M266" s="412" t="s">
        <v>431</v>
      </c>
      <c r="N266" s="414">
        <f>L266*5%+L266</f>
        <v>119389449.375</v>
      </c>
      <c r="O266" s="412" t="s">
        <v>664</v>
      </c>
      <c r="P266" s="414">
        <f t="shared" si="47"/>
        <v>125074661.25</v>
      </c>
      <c r="Q266" s="412" t="s">
        <v>664</v>
      </c>
      <c r="R266" s="414">
        <f t="shared" si="48"/>
        <v>134910077.79374999</v>
      </c>
      <c r="S266" s="432" t="s">
        <v>694</v>
      </c>
      <c r="T266" s="235">
        <f t="shared" si="49"/>
        <v>645396675.91875005</v>
      </c>
      <c r="U266" s="101"/>
      <c r="V266" s="101"/>
    </row>
    <row r="267" spans="2:22" x14ac:dyDescent="0.2">
      <c r="B267" s="443"/>
      <c r="C267" s="447"/>
      <c r="D267" s="236"/>
      <c r="E267" s="455"/>
      <c r="F267" s="455"/>
      <c r="G267" s="416"/>
      <c r="H267" s="417"/>
      <c r="I267" s="416"/>
      <c r="J267" s="418"/>
      <c r="K267" s="416"/>
      <c r="L267" s="419"/>
      <c r="M267" s="416"/>
      <c r="N267" s="418"/>
      <c r="O267" s="416"/>
      <c r="P267" s="418"/>
      <c r="Q267" s="416"/>
      <c r="R267" s="418"/>
      <c r="S267" s="432"/>
      <c r="T267" s="235"/>
      <c r="U267" s="101"/>
      <c r="V267" s="101"/>
    </row>
    <row r="268" spans="2:22" x14ac:dyDescent="0.2">
      <c r="B268" s="443"/>
      <c r="C268" s="449"/>
      <c r="D268" s="236"/>
      <c r="E268" s="455"/>
      <c r="F268" s="455"/>
      <c r="G268" s="416"/>
      <c r="H268" s="417"/>
      <c r="I268" s="416"/>
      <c r="J268" s="418"/>
      <c r="K268" s="416"/>
      <c r="L268" s="419"/>
      <c r="M268" s="416"/>
      <c r="N268" s="418"/>
      <c r="O268" s="416"/>
      <c r="P268" s="418"/>
      <c r="Q268" s="416"/>
      <c r="R268" s="418"/>
      <c r="S268" s="432"/>
      <c r="T268" s="235"/>
      <c r="U268" s="101"/>
      <c r="V268" s="101"/>
    </row>
    <row r="269" spans="2:22" ht="21.75" x14ac:dyDescent="0.2">
      <c r="B269" s="443"/>
      <c r="C269" s="456" t="s">
        <v>740</v>
      </c>
      <c r="D269" s="441" t="s">
        <v>741</v>
      </c>
      <c r="E269" s="442" t="s">
        <v>742</v>
      </c>
      <c r="F269" s="442" t="s">
        <v>743</v>
      </c>
      <c r="G269" s="400" t="s">
        <v>69</v>
      </c>
      <c r="H269" s="399">
        <f>SUM(H270:H272)</f>
        <v>1376539501</v>
      </c>
      <c r="I269" s="399" t="s">
        <v>69</v>
      </c>
      <c r="J269" s="420">
        <f>SUM(J270:J272)</f>
        <v>1612426445.0999999</v>
      </c>
      <c r="K269" s="420" t="s">
        <v>69</v>
      </c>
      <c r="L269" s="420">
        <f t="shared" ref="L269:R269" si="50">SUM(L270:L272)</f>
        <v>1660791557.01</v>
      </c>
      <c r="M269" s="420" t="s">
        <v>69</v>
      </c>
      <c r="N269" s="420">
        <f t="shared" si="50"/>
        <v>1736568686.631</v>
      </c>
      <c r="O269" s="420" t="s">
        <v>69</v>
      </c>
      <c r="P269" s="420">
        <f t="shared" ref="P269" si="51">SUM(P270:P272)</f>
        <v>1786196514.8318999</v>
      </c>
      <c r="Q269" s="420" t="s">
        <v>69</v>
      </c>
      <c r="R269" s="420">
        <f t="shared" si="50"/>
        <v>1841605045.6759079</v>
      </c>
      <c r="S269" s="233" t="str">
        <f t="shared" ref="S269:T304" si="52">Q269</f>
        <v>B</v>
      </c>
      <c r="T269" s="233">
        <f t="shared" si="52"/>
        <v>1841605045.6759079</v>
      </c>
      <c r="U269" s="101"/>
      <c r="V269" s="101"/>
    </row>
    <row r="270" spans="2:22" x14ac:dyDescent="0.2">
      <c r="B270" s="443"/>
      <c r="C270" s="445"/>
      <c r="D270" s="451" t="s">
        <v>744</v>
      </c>
      <c r="E270" s="446" t="s">
        <v>745</v>
      </c>
      <c r="F270" s="446" t="s">
        <v>746</v>
      </c>
      <c r="G270" s="421" t="s">
        <v>327</v>
      </c>
      <c r="H270" s="405">
        <v>66378000</v>
      </c>
      <c r="I270" s="421" t="s">
        <v>327</v>
      </c>
      <c r="J270" s="405">
        <f>H272*5%+H272</f>
        <v>1128775326</v>
      </c>
      <c r="K270" s="421" t="s">
        <v>327</v>
      </c>
      <c r="L270" s="405">
        <f>J2040%+J270</f>
        <v>1128775326</v>
      </c>
      <c r="M270" s="421" t="s">
        <v>327</v>
      </c>
      <c r="N270" s="405">
        <f>L270*2%+L270</f>
        <v>1151350832.52</v>
      </c>
      <c r="O270" s="421" t="s">
        <v>327</v>
      </c>
      <c r="P270" s="405">
        <f>N270*2%+N270</f>
        <v>1174377849.1703999</v>
      </c>
      <c r="Q270" s="421" t="s">
        <v>327</v>
      </c>
      <c r="R270" s="405">
        <f>P270*2%+P270</f>
        <v>1197865406.1538079</v>
      </c>
      <c r="S270" s="235" t="s">
        <v>695</v>
      </c>
      <c r="T270" s="235">
        <f t="shared" si="52"/>
        <v>1197865406.1538079</v>
      </c>
      <c r="U270" s="101"/>
      <c r="V270" s="101"/>
    </row>
    <row r="271" spans="2:22" ht="22.5" x14ac:dyDescent="0.2">
      <c r="B271" s="443"/>
      <c r="C271" s="447"/>
      <c r="D271" s="451" t="s">
        <v>747</v>
      </c>
      <c r="E271" s="446" t="s">
        <v>748</v>
      </c>
      <c r="F271" s="446" t="s">
        <v>749</v>
      </c>
      <c r="G271" s="421" t="s">
        <v>665</v>
      </c>
      <c r="H271" s="405">
        <v>235137381</v>
      </c>
      <c r="I271" s="421" t="s">
        <v>665</v>
      </c>
      <c r="J271" s="405">
        <f>H271*10%+H271</f>
        <v>258651119.09999999</v>
      </c>
      <c r="K271" s="421" t="s">
        <v>665</v>
      </c>
      <c r="L271" s="405">
        <f>10%*J271+J271</f>
        <v>284516231.00999999</v>
      </c>
      <c r="M271" s="421" t="s">
        <v>665</v>
      </c>
      <c r="N271" s="405">
        <f>10%*L271+L271</f>
        <v>312967854.111</v>
      </c>
      <c r="O271" s="421" t="s">
        <v>665</v>
      </c>
      <c r="P271" s="405">
        <f t="shared" ref="P271:P272" si="53">15%*L271+L271</f>
        <v>327193665.66149998</v>
      </c>
      <c r="Q271" s="421" t="s">
        <v>665</v>
      </c>
      <c r="R271" s="405">
        <f t="shared" ref="R271:R272" si="54">10%*N271+N271</f>
        <v>344264639.52209997</v>
      </c>
      <c r="S271" s="235" t="s">
        <v>696</v>
      </c>
      <c r="T271" s="235">
        <f t="shared" si="52"/>
        <v>344264639.52209997</v>
      </c>
      <c r="U271" s="101"/>
      <c r="V271" s="101"/>
    </row>
    <row r="272" spans="2:22" x14ac:dyDescent="0.2">
      <c r="B272" s="443"/>
      <c r="C272" s="447"/>
      <c r="D272" s="451" t="s">
        <v>750</v>
      </c>
      <c r="E272" s="446" t="s">
        <v>751</v>
      </c>
      <c r="F272" s="446" t="s">
        <v>752</v>
      </c>
      <c r="G272" s="421" t="s">
        <v>663</v>
      </c>
      <c r="H272" s="422">
        <v>1075024120</v>
      </c>
      <c r="I272" s="421" t="s">
        <v>663</v>
      </c>
      <c r="J272" s="405">
        <v>225000000</v>
      </c>
      <c r="K272" s="421" t="s">
        <v>663</v>
      </c>
      <c r="L272" s="405">
        <f>10%*J272+J272</f>
        <v>247500000</v>
      </c>
      <c r="M272" s="421" t="s">
        <v>663</v>
      </c>
      <c r="N272" s="405">
        <f>10%*L272+L272</f>
        <v>272250000</v>
      </c>
      <c r="O272" s="421" t="s">
        <v>663</v>
      </c>
      <c r="P272" s="405">
        <f t="shared" si="53"/>
        <v>284625000</v>
      </c>
      <c r="Q272" s="421" t="s">
        <v>663</v>
      </c>
      <c r="R272" s="405">
        <f t="shared" si="54"/>
        <v>299475000</v>
      </c>
      <c r="S272" s="235" t="s">
        <v>697</v>
      </c>
      <c r="T272" s="235">
        <f t="shared" si="52"/>
        <v>299475000</v>
      </c>
      <c r="U272" s="101"/>
      <c r="V272" s="101"/>
    </row>
    <row r="273" spans="2:22" x14ac:dyDescent="0.2">
      <c r="B273" s="443"/>
      <c r="C273" s="447"/>
      <c r="D273" s="451"/>
      <c r="E273" s="446"/>
      <c r="F273" s="446"/>
      <c r="G273" s="421"/>
      <c r="H273" s="422"/>
      <c r="I273" s="421"/>
      <c r="J273" s="405"/>
      <c r="K273" s="421"/>
      <c r="L273" s="405"/>
      <c r="M273" s="421"/>
      <c r="N273" s="405"/>
      <c r="O273" s="421"/>
      <c r="P273" s="405"/>
      <c r="Q273" s="421"/>
      <c r="R273" s="405"/>
      <c r="S273" s="235"/>
      <c r="T273" s="235"/>
      <c r="U273" s="101"/>
      <c r="V273" s="101"/>
    </row>
    <row r="274" spans="2:22" x14ac:dyDescent="0.2">
      <c r="B274" s="443"/>
      <c r="C274" s="449"/>
      <c r="D274" s="451"/>
      <c r="E274" s="446"/>
      <c r="F274" s="446"/>
      <c r="G274" s="421"/>
      <c r="H274" s="422"/>
      <c r="I274" s="421"/>
      <c r="J274" s="405"/>
      <c r="K274" s="421"/>
      <c r="L274" s="405"/>
      <c r="M274" s="421"/>
      <c r="N274" s="405"/>
      <c r="O274" s="421"/>
      <c r="P274" s="405"/>
      <c r="Q274" s="421"/>
      <c r="R274" s="405"/>
      <c r="S274" s="235"/>
      <c r="T274" s="235"/>
      <c r="U274" s="101"/>
      <c r="V274" s="101"/>
    </row>
    <row r="275" spans="2:22" ht="21.75" x14ac:dyDescent="0.2">
      <c r="B275" s="443"/>
      <c r="C275" s="456" t="s">
        <v>740</v>
      </c>
      <c r="D275" s="441" t="s">
        <v>753</v>
      </c>
      <c r="E275" s="442" t="s">
        <v>73</v>
      </c>
      <c r="F275" s="442" t="s">
        <v>743</v>
      </c>
      <c r="G275" s="400" t="s">
        <v>69</v>
      </c>
      <c r="H275" s="399">
        <v>7872286562</v>
      </c>
      <c r="I275" s="399" t="s">
        <v>69</v>
      </c>
      <c r="J275" s="399">
        <f t="shared" ref="J275:R275" si="55">SUM(J276:J281)</f>
        <v>8669783928.2700005</v>
      </c>
      <c r="K275" s="399" t="s">
        <v>69</v>
      </c>
      <c r="L275" s="399">
        <f t="shared" si="55"/>
        <v>12089901916.453501</v>
      </c>
      <c r="M275" s="399" t="s">
        <v>69</v>
      </c>
      <c r="N275" s="399">
        <f t="shared" si="55"/>
        <v>12548196968.126385</v>
      </c>
      <c r="O275" s="399" t="s">
        <v>69</v>
      </c>
      <c r="P275" s="399">
        <f t="shared" ref="P275" si="56">SUM(P276:P281)</f>
        <v>12758614438.418135</v>
      </c>
      <c r="Q275" s="399" t="s">
        <v>69</v>
      </c>
      <c r="R275" s="399">
        <f t="shared" si="55"/>
        <v>13042688709.458738</v>
      </c>
      <c r="S275" s="233" t="str">
        <f t="shared" si="52"/>
        <v>B</v>
      </c>
      <c r="T275" s="233">
        <f>SUM(T276:T282)</f>
        <v>69752099426.851059</v>
      </c>
      <c r="U275" s="101"/>
      <c r="V275" s="101"/>
    </row>
    <row r="276" spans="2:22" ht="22.5" x14ac:dyDescent="0.2">
      <c r="B276" s="443"/>
      <c r="C276" s="445"/>
      <c r="D276" s="451" t="s">
        <v>754</v>
      </c>
      <c r="E276" s="446" t="s">
        <v>755</v>
      </c>
      <c r="F276" s="446" t="s">
        <v>756</v>
      </c>
      <c r="G276" s="421" t="s">
        <v>666</v>
      </c>
      <c r="H276" s="422">
        <v>770576880</v>
      </c>
      <c r="I276" s="422" t="s">
        <v>666</v>
      </c>
      <c r="J276" s="405">
        <f>H276*5%+H276</f>
        <v>809105724</v>
      </c>
      <c r="K276" s="423" t="s">
        <v>666</v>
      </c>
      <c r="L276" s="405">
        <f>J276*15%+J276</f>
        <v>930471582.60000002</v>
      </c>
      <c r="M276" s="423" t="s">
        <v>666</v>
      </c>
      <c r="N276" s="405">
        <f t="shared" ref="N276:N281" si="57">10%*L276+L276</f>
        <v>1023518740.86</v>
      </c>
      <c r="O276" s="423" t="s">
        <v>666</v>
      </c>
      <c r="P276" s="405">
        <f>15%*L276+L276</f>
        <v>1070042319.99</v>
      </c>
      <c r="Q276" s="423" t="s">
        <v>666</v>
      </c>
      <c r="R276" s="405">
        <f t="shared" ref="R276:R281" si="58">10%*N276+N276</f>
        <v>1125870614.9460001</v>
      </c>
      <c r="S276" s="235" t="s">
        <v>687</v>
      </c>
      <c r="T276" s="235">
        <f>H276+J276+L276+N276+P276+R276</f>
        <v>5729585862.3959999</v>
      </c>
      <c r="V276" s="101"/>
    </row>
    <row r="277" spans="2:22" x14ac:dyDescent="0.2">
      <c r="B277" s="443"/>
      <c r="C277" s="447"/>
      <c r="D277" s="451" t="s">
        <v>757</v>
      </c>
      <c r="E277" s="446" t="s">
        <v>76</v>
      </c>
      <c r="F277" s="457" t="s">
        <v>758</v>
      </c>
      <c r="G277" s="421" t="s">
        <v>667</v>
      </c>
      <c r="H277" s="422">
        <v>4950839542</v>
      </c>
      <c r="I277" s="422" t="s">
        <v>667</v>
      </c>
      <c r="J277" s="405">
        <f>H277*1%+H277</f>
        <v>5000347937.4200001</v>
      </c>
      <c r="K277" s="423" t="s">
        <v>667</v>
      </c>
      <c r="L277" s="405">
        <f>55%*J277+J277</f>
        <v>7750539303.0010004</v>
      </c>
      <c r="M277" s="423" t="s">
        <v>667</v>
      </c>
      <c r="N277" s="405">
        <f>1%*L277+L277</f>
        <v>7828044696.0310106</v>
      </c>
      <c r="O277" s="423" t="s">
        <v>667</v>
      </c>
      <c r="P277" s="405">
        <f>1%*L277+L277</f>
        <v>7828044696.0310106</v>
      </c>
      <c r="Q277" s="423" t="s">
        <v>667</v>
      </c>
      <c r="R277" s="405">
        <f>1%*N277+N277</f>
        <v>7906325142.9913206</v>
      </c>
      <c r="S277" s="235" t="s">
        <v>698</v>
      </c>
      <c r="T277" s="235">
        <f t="shared" ref="T277:T282" si="59">H277+J277+L277+N277+P277+R277</f>
        <v>41264141317.474342</v>
      </c>
      <c r="U277" s="101"/>
      <c r="V277" s="101"/>
    </row>
    <row r="278" spans="2:22" x14ac:dyDescent="0.2">
      <c r="B278" s="443"/>
      <c r="C278" s="447"/>
      <c r="D278" s="451" t="s">
        <v>759</v>
      </c>
      <c r="E278" s="446" t="s">
        <v>760</v>
      </c>
      <c r="F278" s="457" t="s">
        <v>761</v>
      </c>
      <c r="G278" s="421" t="s">
        <v>100</v>
      </c>
      <c r="H278" s="422">
        <v>108928421</v>
      </c>
      <c r="I278" s="422" t="s">
        <v>100</v>
      </c>
      <c r="J278" s="405">
        <f t="shared" ref="J278" si="60">10%*H278+H278</f>
        <v>119821263.09999999</v>
      </c>
      <c r="K278" s="423" t="s">
        <v>100</v>
      </c>
      <c r="L278" s="405">
        <f>25%*J278+J278</f>
        <v>149776578.875</v>
      </c>
      <c r="M278" s="423" t="s">
        <v>100</v>
      </c>
      <c r="N278" s="405">
        <f t="shared" si="57"/>
        <v>164754236.76249999</v>
      </c>
      <c r="O278" s="423" t="s">
        <v>100</v>
      </c>
      <c r="P278" s="405">
        <f t="shared" ref="P278:P281" si="61">15%*L278+L278</f>
        <v>172243065.70625001</v>
      </c>
      <c r="Q278" s="423" t="s">
        <v>100</v>
      </c>
      <c r="R278" s="405">
        <f t="shared" si="58"/>
        <v>181229660.43875</v>
      </c>
      <c r="S278" s="235" t="s">
        <v>699</v>
      </c>
      <c r="T278" s="235">
        <f t="shared" si="59"/>
        <v>896753225.88249993</v>
      </c>
      <c r="U278" s="101"/>
      <c r="V278" s="101"/>
    </row>
    <row r="279" spans="2:22" x14ac:dyDescent="0.2">
      <c r="B279" s="443"/>
      <c r="C279" s="447"/>
      <c r="D279" s="451" t="s">
        <v>762</v>
      </c>
      <c r="E279" s="446" t="s">
        <v>763</v>
      </c>
      <c r="F279" s="457" t="s">
        <v>764</v>
      </c>
      <c r="G279" s="421" t="s">
        <v>668</v>
      </c>
      <c r="H279" s="422">
        <v>880274993</v>
      </c>
      <c r="I279" s="422" t="s">
        <v>668</v>
      </c>
      <c r="J279" s="405">
        <f>H279*5%+H279</f>
        <v>924288742.64999998</v>
      </c>
      <c r="K279" s="423" t="s">
        <v>668</v>
      </c>
      <c r="L279" s="405">
        <f>15%*J279+J279</f>
        <v>1062932054.0474999</v>
      </c>
      <c r="M279" s="423" t="s">
        <v>668</v>
      </c>
      <c r="N279" s="405">
        <f>5%*L279+L279</f>
        <v>1116078656.7498748</v>
      </c>
      <c r="O279" s="423" t="s">
        <v>668</v>
      </c>
      <c r="P279" s="405">
        <f>5%*L279+L279</f>
        <v>1116078656.7498748</v>
      </c>
      <c r="Q279" s="423" t="s">
        <v>668</v>
      </c>
      <c r="R279" s="405">
        <f>5%*N279+N279</f>
        <v>1171882589.5873685</v>
      </c>
      <c r="S279" s="235" t="s">
        <v>700</v>
      </c>
      <c r="T279" s="235">
        <f t="shared" si="59"/>
        <v>6271535692.7846184</v>
      </c>
      <c r="U279" s="101"/>
      <c r="V279" s="101"/>
    </row>
    <row r="280" spans="2:22" x14ac:dyDescent="0.2">
      <c r="B280" s="443"/>
      <c r="C280" s="447"/>
      <c r="D280" s="451" t="s">
        <v>765</v>
      </c>
      <c r="E280" s="446" t="s">
        <v>79</v>
      </c>
      <c r="F280" s="457" t="s">
        <v>272</v>
      </c>
      <c r="G280" s="421" t="s">
        <v>669</v>
      </c>
      <c r="H280" s="422">
        <v>651691501</v>
      </c>
      <c r="I280" s="422" t="s">
        <v>669</v>
      </c>
      <c r="J280" s="405">
        <f>H280*10%+H280</f>
        <v>716860651.10000002</v>
      </c>
      <c r="K280" s="423" t="s">
        <v>669</v>
      </c>
      <c r="L280" s="405">
        <f>30%*J280+J280</f>
        <v>931918846.43000007</v>
      </c>
      <c r="M280" s="423" t="s">
        <v>670</v>
      </c>
      <c r="N280" s="405">
        <f>10%*L280+L280</f>
        <v>1025110731.0730001</v>
      </c>
      <c r="O280" s="423" t="s">
        <v>669</v>
      </c>
      <c r="P280" s="405">
        <f>20%*L280+L280</f>
        <v>1118302615.7160001</v>
      </c>
      <c r="Q280" s="423" t="s">
        <v>669</v>
      </c>
      <c r="R280" s="405">
        <f t="shared" si="58"/>
        <v>1127621804.1803</v>
      </c>
      <c r="S280" s="235" t="s">
        <v>701</v>
      </c>
      <c r="T280" s="235">
        <f t="shared" si="59"/>
        <v>5571506149.4993</v>
      </c>
      <c r="U280" s="101"/>
      <c r="V280" s="101"/>
    </row>
    <row r="281" spans="2:22" ht="22.5" x14ac:dyDescent="0.2">
      <c r="B281" s="443"/>
      <c r="C281" s="447"/>
      <c r="D281" s="451" t="s">
        <v>766</v>
      </c>
      <c r="E281" s="446" t="s">
        <v>83</v>
      </c>
      <c r="F281" s="457" t="s">
        <v>84</v>
      </c>
      <c r="G281" s="421" t="s">
        <v>431</v>
      </c>
      <c r="H281" s="422">
        <v>2198719220</v>
      </c>
      <c r="I281" s="422" t="s">
        <v>431</v>
      </c>
      <c r="J281" s="405">
        <v>1099359610</v>
      </c>
      <c r="K281" s="405" t="s">
        <v>431</v>
      </c>
      <c r="L281" s="405">
        <f>15%*J281+J281</f>
        <v>1264263551.5</v>
      </c>
      <c r="M281" s="405" t="s">
        <v>431</v>
      </c>
      <c r="N281" s="405">
        <f t="shared" si="57"/>
        <v>1390689906.6500001</v>
      </c>
      <c r="O281" s="423" t="s">
        <v>431</v>
      </c>
      <c r="P281" s="405">
        <f t="shared" si="61"/>
        <v>1453903084.2249999</v>
      </c>
      <c r="Q281" s="423" t="s">
        <v>431</v>
      </c>
      <c r="R281" s="405">
        <f t="shared" si="58"/>
        <v>1529758897.3150001</v>
      </c>
      <c r="S281" s="235" t="s">
        <v>694</v>
      </c>
      <c r="T281" s="235">
        <f t="shared" si="59"/>
        <v>8936694269.6900005</v>
      </c>
      <c r="U281" s="101"/>
      <c r="V281" s="101"/>
    </row>
    <row r="282" spans="2:22" x14ac:dyDescent="0.2">
      <c r="B282" s="443"/>
      <c r="C282" s="447"/>
      <c r="D282" s="451" t="s">
        <v>767</v>
      </c>
      <c r="E282" s="446" t="s">
        <v>768</v>
      </c>
      <c r="F282" s="446" t="s">
        <v>769</v>
      </c>
      <c r="G282" s="421" t="s">
        <v>327</v>
      </c>
      <c r="H282" s="422">
        <v>140432234</v>
      </c>
      <c r="I282" s="422" t="s">
        <v>671</v>
      </c>
      <c r="J282" s="405">
        <f>H282*10%+H282</f>
        <v>154475457.40000001</v>
      </c>
      <c r="K282" s="423" t="s">
        <v>671</v>
      </c>
      <c r="L282" s="405">
        <f>J282*15%+J282</f>
        <v>177646776.00999999</v>
      </c>
      <c r="M282" s="423" t="s">
        <v>671</v>
      </c>
      <c r="N282" s="405">
        <f>L282*10%+L282</f>
        <v>195411453.611</v>
      </c>
      <c r="O282" s="423" t="s">
        <v>671</v>
      </c>
      <c r="P282" s="405">
        <f>L282*12%+L282</f>
        <v>198964389.13119999</v>
      </c>
      <c r="Q282" s="423" t="s">
        <v>327</v>
      </c>
      <c r="R282" s="405">
        <f t="shared" ref="R282" si="62">N282*10%+N282</f>
        <v>214952598.97209999</v>
      </c>
      <c r="S282" s="235" t="s">
        <v>695</v>
      </c>
      <c r="T282" s="235">
        <f t="shared" si="59"/>
        <v>1081882909.1242998</v>
      </c>
      <c r="V282" s="101"/>
    </row>
    <row r="283" spans="2:22" x14ac:dyDescent="0.2">
      <c r="B283" s="443"/>
      <c r="C283" s="447"/>
      <c r="D283" s="451"/>
      <c r="E283" s="446"/>
      <c r="F283" s="446"/>
      <c r="G283" s="421"/>
      <c r="H283" s="422"/>
      <c r="I283" s="422"/>
      <c r="J283" s="405"/>
      <c r="K283" s="423"/>
      <c r="L283" s="405"/>
      <c r="M283" s="423"/>
      <c r="N283" s="405"/>
      <c r="O283" s="423"/>
      <c r="P283" s="405"/>
      <c r="Q283" s="423"/>
      <c r="R283" s="405"/>
      <c r="S283" s="235"/>
      <c r="T283" s="235"/>
      <c r="V283" s="101"/>
    </row>
    <row r="284" spans="2:22" x14ac:dyDescent="0.2">
      <c r="B284" s="443"/>
      <c r="C284" s="449"/>
      <c r="D284" s="451"/>
      <c r="E284" s="446"/>
      <c r="F284" s="446"/>
      <c r="G284" s="421"/>
      <c r="H284" s="422"/>
      <c r="I284" s="422"/>
      <c r="J284" s="405"/>
      <c r="K284" s="423"/>
      <c r="L284" s="405"/>
      <c r="M284" s="423"/>
      <c r="N284" s="405"/>
      <c r="O284" s="423"/>
      <c r="P284" s="405"/>
      <c r="Q284" s="423"/>
      <c r="R284" s="405"/>
      <c r="S284" s="235"/>
      <c r="T284" s="235"/>
      <c r="V284" s="101"/>
    </row>
    <row r="285" spans="2:22" ht="21" x14ac:dyDescent="0.2">
      <c r="B285" s="443"/>
      <c r="C285" s="442" t="s">
        <v>740</v>
      </c>
      <c r="D285" s="441" t="s">
        <v>770</v>
      </c>
      <c r="E285" s="442" t="s">
        <v>771</v>
      </c>
      <c r="F285" s="458" t="s">
        <v>772</v>
      </c>
      <c r="G285" s="398">
        <v>1</v>
      </c>
      <c r="H285" s="399">
        <f>SUM(H286)</f>
        <v>6855062740</v>
      </c>
      <c r="I285" s="398">
        <v>1</v>
      </c>
      <c r="J285" s="399">
        <f t="shared" ref="J285:R285" si="63">SUM(J286)</f>
        <v>6923613367.3999996</v>
      </c>
      <c r="K285" s="398">
        <v>1</v>
      </c>
      <c r="L285" s="399">
        <f t="shared" si="63"/>
        <v>6992849501.0739994</v>
      </c>
      <c r="M285" s="398">
        <v>1</v>
      </c>
      <c r="N285" s="399">
        <f t="shared" si="63"/>
        <v>7062777996.0847397</v>
      </c>
      <c r="O285" s="398">
        <v>1</v>
      </c>
      <c r="P285" s="399">
        <f t="shared" si="63"/>
        <v>7062777996.0847397</v>
      </c>
      <c r="Q285" s="398">
        <v>1</v>
      </c>
      <c r="R285" s="399">
        <f t="shared" si="63"/>
        <v>7133405776.0455875</v>
      </c>
      <c r="S285" s="244">
        <v>1</v>
      </c>
      <c r="T285" s="233">
        <f>SUM(T286)</f>
        <v>42030487376.689064</v>
      </c>
      <c r="U285" s="101"/>
      <c r="V285" s="101"/>
    </row>
    <row r="286" spans="2:22" ht="22.5" x14ac:dyDescent="0.2">
      <c r="B286" s="443"/>
      <c r="C286" s="459"/>
      <c r="D286" s="236" t="s">
        <v>773</v>
      </c>
      <c r="E286" s="446" t="s">
        <v>774</v>
      </c>
      <c r="F286" s="457" t="s">
        <v>775</v>
      </c>
      <c r="G286" s="421" t="s">
        <v>672</v>
      </c>
      <c r="H286" s="422">
        <v>6855062740</v>
      </c>
      <c r="I286" s="422" t="s">
        <v>673</v>
      </c>
      <c r="J286" s="405">
        <f>H286*1%+H286</f>
        <v>6923613367.3999996</v>
      </c>
      <c r="K286" s="423" t="s">
        <v>673</v>
      </c>
      <c r="L286" s="405">
        <f>1%*J286+J286</f>
        <v>6992849501.0739994</v>
      </c>
      <c r="M286" s="423" t="s">
        <v>673</v>
      </c>
      <c r="N286" s="405">
        <f>1%*L286+L286</f>
        <v>7062777996.0847397</v>
      </c>
      <c r="O286" s="423" t="s">
        <v>673</v>
      </c>
      <c r="P286" s="405">
        <f>1%*L286+L286</f>
        <v>7062777996.0847397</v>
      </c>
      <c r="Q286" s="423" t="s">
        <v>674</v>
      </c>
      <c r="R286" s="405">
        <f>1%*N286+N286</f>
        <v>7133405776.0455875</v>
      </c>
      <c r="S286" s="235" t="s">
        <v>702</v>
      </c>
      <c r="T286" s="235">
        <f>H286+J286+L286+N286+P286+R286</f>
        <v>42030487376.689064</v>
      </c>
      <c r="U286" s="101"/>
      <c r="V286" s="101"/>
    </row>
    <row r="287" spans="2:22" ht="21" x14ac:dyDescent="0.2">
      <c r="B287" s="443"/>
      <c r="C287" s="442" t="s">
        <v>740</v>
      </c>
      <c r="D287" s="441" t="s">
        <v>776</v>
      </c>
      <c r="E287" s="442" t="s">
        <v>465</v>
      </c>
      <c r="F287" s="460" t="s">
        <v>777</v>
      </c>
      <c r="G287" s="400" t="s">
        <v>69</v>
      </c>
      <c r="H287" s="399">
        <f>SUM(H288:H291)</f>
        <v>10689214898</v>
      </c>
      <c r="I287" s="400" t="s">
        <v>69</v>
      </c>
      <c r="J287" s="399">
        <f t="shared" ref="J287:R287" si="64">SUM(J288:J291)</f>
        <v>12638548247.299999</v>
      </c>
      <c r="K287" s="400" t="s">
        <v>69</v>
      </c>
      <c r="L287" s="399">
        <f t="shared" si="64"/>
        <v>15417236837.775</v>
      </c>
      <c r="M287" s="400" t="s">
        <v>69</v>
      </c>
      <c r="N287" s="399">
        <f t="shared" si="64"/>
        <v>17003185900.692749</v>
      </c>
      <c r="O287" s="400" t="s">
        <v>69</v>
      </c>
      <c r="P287" s="399">
        <f t="shared" ref="P287" si="65">SUM(P288:P291)</f>
        <v>16526652539.61375</v>
      </c>
      <c r="Q287" s="400" t="s">
        <v>69</v>
      </c>
      <c r="R287" s="399">
        <f t="shared" si="64"/>
        <v>18051562977.836018</v>
      </c>
      <c r="S287" s="233" t="str">
        <f t="shared" si="52"/>
        <v>B</v>
      </c>
      <c r="T287" s="233">
        <f>SUM(T288:T291)</f>
        <v>90326401401.217514</v>
      </c>
      <c r="U287" s="101"/>
      <c r="V287" s="101"/>
    </row>
    <row r="288" spans="2:22" x14ac:dyDescent="0.2">
      <c r="B288" s="443"/>
      <c r="C288" s="445"/>
      <c r="D288" s="451" t="s">
        <v>778</v>
      </c>
      <c r="E288" s="446" t="s">
        <v>779</v>
      </c>
      <c r="F288" s="457" t="s">
        <v>780</v>
      </c>
      <c r="G288" s="407" t="s">
        <v>329</v>
      </c>
      <c r="H288" s="422">
        <v>91180735</v>
      </c>
      <c r="I288" s="406" t="s">
        <v>329</v>
      </c>
      <c r="J288" s="405">
        <v>100000000</v>
      </c>
      <c r="K288" s="407" t="s">
        <v>329</v>
      </c>
      <c r="L288" s="405">
        <f>J288*90%+J288</f>
        <v>190000000</v>
      </c>
      <c r="M288" s="407" t="s">
        <v>329</v>
      </c>
      <c r="N288" s="405">
        <f>L288*10%+L288</f>
        <v>209000000</v>
      </c>
      <c r="O288" s="407" t="s">
        <v>329</v>
      </c>
      <c r="P288" s="405">
        <f>L288*13%+L288</f>
        <v>214700000</v>
      </c>
      <c r="Q288" s="407" t="s">
        <v>329</v>
      </c>
      <c r="R288" s="405">
        <f t="shared" ref="R288:R289" si="66">N288*10%+N288</f>
        <v>229900000</v>
      </c>
      <c r="S288" s="432" t="s">
        <v>703</v>
      </c>
      <c r="T288" s="235">
        <f>H288+J288+L288+N288+P288+R288</f>
        <v>1034780735</v>
      </c>
      <c r="U288" s="101"/>
      <c r="V288" s="101"/>
    </row>
    <row r="289" spans="2:22" ht="22.5" x14ac:dyDescent="0.2">
      <c r="B289" s="443"/>
      <c r="C289" s="447"/>
      <c r="D289" s="451" t="s">
        <v>781</v>
      </c>
      <c r="E289" s="446" t="s">
        <v>782</v>
      </c>
      <c r="F289" s="457" t="s">
        <v>783</v>
      </c>
      <c r="G289" s="424" t="s">
        <v>431</v>
      </c>
      <c r="H289" s="422">
        <v>4221615948</v>
      </c>
      <c r="I289" s="421" t="s">
        <v>431</v>
      </c>
      <c r="J289" s="405">
        <v>4643777543</v>
      </c>
      <c r="K289" s="421" t="s">
        <v>431</v>
      </c>
      <c r="L289" s="405">
        <f>J289*15%+J289</f>
        <v>5340344174.4499998</v>
      </c>
      <c r="M289" s="421" t="s">
        <v>431</v>
      </c>
      <c r="N289" s="405">
        <f>L289*10%+L289</f>
        <v>5874378591.8949995</v>
      </c>
      <c r="O289" s="421" t="s">
        <v>431</v>
      </c>
      <c r="P289" s="405">
        <f t="shared" ref="P289" si="67">L289*13%+L289</f>
        <v>6034588917.1285</v>
      </c>
      <c r="Q289" s="421" t="s">
        <v>431</v>
      </c>
      <c r="R289" s="405">
        <f t="shared" si="66"/>
        <v>6461816451.0844994</v>
      </c>
      <c r="S289" s="235" t="s">
        <v>694</v>
      </c>
      <c r="T289" s="235">
        <f t="shared" ref="T289:T291" si="68">H289+J289+L289+N289+P289+R289</f>
        <v>32576521625.558002</v>
      </c>
      <c r="U289" s="101"/>
      <c r="V289" s="101"/>
    </row>
    <row r="290" spans="2:22" ht="22.5" x14ac:dyDescent="0.2">
      <c r="B290" s="443"/>
      <c r="C290" s="447"/>
      <c r="D290" s="451" t="s">
        <v>784</v>
      </c>
      <c r="E290" s="446" t="s">
        <v>468</v>
      </c>
      <c r="F290" s="457" t="s">
        <v>785</v>
      </c>
      <c r="G290" s="421" t="s">
        <v>94</v>
      </c>
      <c r="H290" s="422">
        <v>1518620965</v>
      </c>
      <c r="I290" s="421" t="s">
        <v>94</v>
      </c>
      <c r="J290" s="405">
        <f>H290*52%+H290</f>
        <v>2308303866.8000002</v>
      </c>
      <c r="K290" s="421" t="s">
        <v>94</v>
      </c>
      <c r="L290" s="405">
        <f>J290*50%+J290</f>
        <v>3462455800.2000003</v>
      </c>
      <c r="M290" s="421" t="s">
        <v>94</v>
      </c>
      <c r="N290" s="405">
        <f>L290*2%+L290</f>
        <v>3531704916.2040005</v>
      </c>
      <c r="O290" s="421" t="s">
        <v>94</v>
      </c>
      <c r="P290" s="405">
        <f>L290*2%+L290</f>
        <v>3531704916.2040005</v>
      </c>
      <c r="Q290" s="421" t="s">
        <v>94</v>
      </c>
      <c r="R290" s="405">
        <f>N290*2%+N290</f>
        <v>3602339014.5280805</v>
      </c>
      <c r="S290" s="235" t="s">
        <v>704</v>
      </c>
      <c r="T290" s="235">
        <f t="shared" si="68"/>
        <v>17955129478.936081</v>
      </c>
      <c r="U290" s="101"/>
      <c r="V290" s="101"/>
    </row>
    <row r="291" spans="2:22" ht="22.5" x14ac:dyDescent="0.2">
      <c r="B291" s="443"/>
      <c r="C291" s="447"/>
      <c r="D291" s="451" t="s">
        <v>786</v>
      </c>
      <c r="E291" s="446" t="s">
        <v>787</v>
      </c>
      <c r="F291" s="457" t="s">
        <v>788</v>
      </c>
      <c r="G291" s="421" t="s">
        <v>431</v>
      </c>
      <c r="H291" s="422">
        <v>4857797250</v>
      </c>
      <c r="I291" s="424" t="s">
        <v>431</v>
      </c>
      <c r="J291" s="405">
        <f>H291*15%+H291</f>
        <v>5586466837.5</v>
      </c>
      <c r="K291" s="424" t="s">
        <v>664</v>
      </c>
      <c r="L291" s="405">
        <f>J291*15%+J291</f>
        <v>6424436863.125</v>
      </c>
      <c r="M291" s="421" t="s">
        <v>431</v>
      </c>
      <c r="N291" s="405">
        <f>L291*15%+L291</f>
        <v>7388102392.59375</v>
      </c>
      <c r="O291" s="424" t="s">
        <v>431</v>
      </c>
      <c r="P291" s="405">
        <f>L291*5%+L291</f>
        <v>6745658706.28125</v>
      </c>
      <c r="Q291" s="424" t="s">
        <v>431</v>
      </c>
      <c r="R291" s="405">
        <f>N291*5%+N291</f>
        <v>7757507512.2234373</v>
      </c>
      <c r="S291" s="235" t="s">
        <v>705</v>
      </c>
      <c r="T291" s="235">
        <f t="shared" si="68"/>
        <v>38759969561.723434</v>
      </c>
      <c r="U291" s="101"/>
      <c r="V291" s="101"/>
    </row>
    <row r="292" spans="2:22" x14ac:dyDescent="0.2">
      <c r="B292" s="443"/>
      <c r="C292" s="447"/>
      <c r="D292" s="451"/>
      <c r="E292" s="446"/>
      <c r="F292" s="457"/>
      <c r="G292" s="421"/>
      <c r="H292" s="422"/>
      <c r="I292" s="424"/>
      <c r="J292" s="405"/>
      <c r="K292" s="424"/>
      <c r="L292" s="405"/>
      <c r="M292" s="421"/>
      <c r="N292" s="405"/>
      <c r="O292" s="424"/>
      <c r="P292" s="405"/>
      <c r="Q292" s="424"/>
      <c r="R292" s="405"/>
      <c r="S292" s="235"/>
      <c r="T292" s="235"/>
      <c r="U292" s="101"/>
      <c r="V292" s="101"/>
    </row>
    <row r="293" spans="2:22" x14ac:dyDescent="0.2">
      <c r="B293" s="443"/>
      <c r="C293" s="449"/>
      <c r="D293" s="451"/>
      <c r="E293" s="446"/>
      <c r="F293" s="457"/>
      <c r="G293" s="421"/>
      <c r="H293" s="422"/>
      <c r="I293" s="424"/>
      <c r="J293" s="405"/>
      <c r="K293" s="424"/>
      <c r="L293" s="405"/>
      <c r="M293" s="421"/>
      <c r="N293" s="405"/>
      <c r="O293" s="424"/>
      <c r="P293" s="405"/>
      <c r="Q293" s="424"/>
      <c r="R293" s="405"/>
      <c r="S293" s="235"/>
      <c r="T293" s="235"/>
      <c r="U293" s="101"/>
      <c r="V293" s="101"/>
    </row>
    <row r="294" spans="2:22" ht="21" x14ac:dyDescent="0.2">
      <c r="B294" s="443"/>
      <c r="C294" s="442" t="s">
        <v>740</v>
      </c>
      <c r="D294" s="441" t="s">
        <v>789</v>
      </c>
      <c r="E294" s="442" t="s">
        <v>610</v>
      </c>
      <c r="F294" s="460" t="s">
        <v>790</v>
      </c>
      <c r="G294" s="398">
        <v>1</v>
      </c>
      <c r="H294" s="399">
        <f>SUM(H295:H299)</f>
        <v>10026247656</v>
      </c>
      <c r="I294" s="398">
        <v>1</v>
      </c>
      <c r="J294" s="399">
        <f t="shared" ref="J294:R294" si="69">SUM(J295:J299)</f>
        <v>10440821528.219999</v>
      </c>
      <c r="K294" s="398">
        <v>1</v>
      </c>
      <c r="L294" s="399">
        <f t="shared" si="69"/>
        <v>11823106192.101</v>
      </c>
      <c r="M294" s="398">
        <v>1</v>
      </c>
      <c r="N294" s="399">
        <f t="shared" si="69"/>
        <v>12347168385.516211</v>
      </c>
      <c r="O294" s="398">
        <v>1</v>
      </c>
      <c r="P294" s="399">
        <f t="shared" ref="P294" si="70">SUM(P295:P299)</f>
        <v>12382077905.21661</v>
      </c>
      <c r="Q294" s="398">
        <v>1</v>
      </c>
      <c r="R294" s="399">
        <f t="shared" si="69"/>
        <v>12718315609.167933</v>
      </c>
      <c r="S294" s="244">
        <f t="shared" si="52"/>
        <v>1</v>
      </c>
      <c r="T294" s="233">
        <f>SUM(T295:T299)</f>
        <v>69737737276.221756</v>
      </c>
      <c r="U294" s="101"/>
      <c r="V294" s="101"/>
    </row>
    <row r="295" spans="2:22" ht="33.75" x14ac:dyDescent="0.2">
      <c r="B295" s="443"/>
      <c r="C295" s="445"/>
      <c r="D295" s="236" t="s">
        <v>791</v>
      </c>
      <c r="E295" s="446" t="s">
        <v>792</v>
      </c>
      <c r="F295" s="457" t="s">
        <v>793</v>
      </c>
      <c r="G295" s="421" t="s">
        <v>675</v>
      </c>
      <c r="H295" s="422">
        <v>3694437800</v>
      </c>
      <c r="I295" s="421" t="s">
        <v>675</v>
      </c>
      <c r="J295" s="405">
        <f>H295*5%+H295</f>
        <v>3879159690</v>
      </c>
      <c r="K295" s="421" t="s">
        <v>675</v>
      </c>
      <c r="L295" s="405">
        <f>J295*15%+J295</f>
        <v>4461033643.5</v>
      </c>
      <c r="M295" s="421" t="s">
        <v>675</v>
      </c>
      <c r="N295" s="405">
        <f>L295*5%+L295</f>
        <v>4684085325.6750002</v>
      </c>
      <c r="O295" s="421" t="s">
        <v>675</v>
      </c>
      <c r="P295" s="405">
        <f>L295*5%+L295</f>
        <v>4684085325.6750002</v>
      </c>
      <c r="Q295" s="421" t="s">
        <v>675</v>
      </c>
      <c r="R295" s="405">
        <f>N295*1%+N295</f>
        <v>4730926178.9317503</v>
      </c>
      <c r="S295" s="235" t="s">
        <v>706</v>
      </c>
      <c r="T295" s="235">
        <f>H295+J295+L295+N295+P295+R295</f>
        <v>26133727963.78175</v>
      </c>
      <c r="U295" s="101"/>
      <c r="V295" s="101"/>
    </row>
    <row r="296" spans="2:22" ht="22.5" x14ac:dyDescent="0.2">
      <c r="B296" s="443"/>
      <c r="C296" s="447"/>
      <c r="D296" s="236" t="s">
        <v>794</v>
      </c>
      <c r="E296" s="446" t="s">
        <v>795</v>
      </c>
      <c r="F296" s="446" t="s">
        <v>796</v>
      </c>
      <c r="G296" s="421" t="s">
        <v>676</v>
      </c>
      <c r="H296" s="422">
        <v>1015827964</v>
      </c>
      <c r="I296" s="421" t="s">
        <v>676</v>
      </c>
      <c r="J296" s="405">
        <f>H296*5%+H296</f>
        <v>1066619362.2</v>
      </c>
      <c r="K296" s="421" t="s">
        <v>676</v>
      </c>
      <c r="L296" s="405">
        <f>J296*15%+J296</f>
        <v>1226612266.53</v>
      </c>
      <c r="M296" s="421" t="s">
        <v>676</v>
      </c>
      <c r="N296" s="405">
        <f>L296*5%+L296</f>
        <v>1287942879.8564999</v>
      </c>
      <c r="O296" s="421" t="s">
        <v>676</v>
      </c>
      <c r="P296" s="405">
        <f>L296*3%+L296</f>
        <v>1263410634.5258999</v>
      </c>
      <c r="Q296" s="421" t="s">
        <v>676</v>
      </c>
      <c r="R296" s="405">
        <f>N296*5%+N296</f>
        <v>1352340023.8493249</v>
      </c>
      <c r="S296" s="235" t="s">
        <v>706</v>
      </c>
      <c r="T296" s="235">
        <f t="shared" ref="T296:T299" si="71">H296+J296+L296+N296+P296+R296</f>
        <v>7212753130.9617252</v>
      </c>
      <c r="U296" s="101"/>
      <c r="V296" s="101"/>
    </row>
    <row r="297" spans="2:22" x14ac:dyDescent="0.2">
      <c r="B297" s="443"/>
      <c r="C297" s="447"/>
      <c r="D297" s="236" t="s">
        <v>797</v>
      </c>
      <c r="E297" s="446" t="s">
        <v>614</v>
      </c>
      <c r="F297" s="457" t="s">
        <v>798</v>
      </c>
      <c r="G297" s="425" t="s">
        <v>677</v>
      </c>
      <c r="H297" s="422">
        <v>173010000</v>
      </c>
      <c r="I297" s="425" t="s">
        <v>677</v>
      </c>
      <c r="J297" s="405">
        <f>H297*10%+H297</f>
        <v>190311000</v>
      </c>
      <c r="K297" s="426" t="s">
        <v>677</v>
      </c>
      <c r="L297" s="405">
        <f>J297*20%+J297</f>
        <v>228373200</v>
      </c>
      <c r="M297" s="426" t="s">
        <v>677</v>
      </c>
      <c r="N297" s="405">
        <f>L297*10%+L297</f>
        <v>251210520</v>
      </c>
      <c r="O297" s="426" t="s">
        <v>677</v>
      </c>
      <c r="P297" s="405">
        <f t="shared" ref="P297:P298" si="72">L297*13%+L297</f>
        <v>258061716</v>
      </c>
      <c r="Q297" s="426" t="s">
        <v>677</v>
      </c>
      <c r="R297" s="405">
        <f t="shared" ref="R297:R298" si="73">N297*10%+N297</f>
        <v>276331572</v>
      </c>
      <c r="S297" s="235" t="s">
        <v>707</v>
      </c>
      <c r="T297" s="235">
        <f t="shared" si="71"/>
        <v>1377298008</v>
      </c>
      <c r="U297" s="101"/>
      <c r="V297" s="101"/>
    </row>
    <row r="298" spans="2:22" ht="22.5" x14ac:dyDescent="0.2">
      <c r="B298" s="443"/>
      <c r="C298" s="447"/>
      <c r="D298" s="236" t="s">
        <v>799</v>
      </c>
      <c r="E298" s="446" t="s">
        <v>800</v>
      </c>
      <c r="F298" s="446" t="s">
        <v>801</v>
      </c>
      <c r="G298" s="421" t="s">
        <v>678</v>
      </c>
      <c r="H298" s="422">
        <v>1225887390</v>
      </c>
      <c r="I298" s="421" t="s">
        <v>679</v>
      </c>
      <c r="J298" s="405">
        <f>H298*10%+H298</f>
        <v>1348476129</v>
      </c>
      <c r="K298" s="423" t="s">
        <v>679</v>
      </c>
      <c r="L298" s="405">
        <f>J298*30%+J298</f>
        <v>1753018967.7</v>
      </c>
      <c r="M298" s="423" t="s">
        <v>679</v>
      </c>
      <c r="N298" s="405">
        <f>L298*10%+L298</f>
        <v>1928320864.47</v>
      </c>
      <c r="O298" s="423" t="s">
        <v>680</v>
      </c>
      <c r="P298" s="405">
        <f t="shared" si="72"/>
        <v>1980911433.5010002</v>
      </c>
      <c r="Q298" s="423" t="s">
        <v>681</v>
      </c>
      <c r="R298" s="405">
        <f t="shared" si="73"/>
        <v>2121152950.9170001</v>
      </c>
      <c r="S298" s="235" t="s">
        <v>708</v>
      </c>
      <c r="T298" s="235">
        <f t="shared" si="71"/>
        <v>10357767735.588001</v>
      </c>
      <c r="U298" s="101"/>
      <c r="V298" s="101"/>
    </row>
    <row r="299" spans="2:22" ht="22.5" x14ac:dyDescent="0.2">
      <c r="B299" s="443"/>
      <c r="C299" s="447"/>
      <c r="D299" s="236" t="s">
        <v>802</v>
      </c>
      <c r="E299" s="446" t="s">
        <v>803</v>
      </c>
      <c r="F299" s="446" t="s">
        <v>804</v>
      </c>
      <c r="G299" s="421" t="s">
        <v>682</v>
      </c>
      <c r="H299" s="422">
        <v>3917084502</v>
      </c>
      <c r="I299" s="421" t="s">
        <v>683</v>
      </c>
      <c r="J299" s="405">
        <f>H299*1%+H299</f>
        <v>3956255347.02</v>
      </c>
      <c r="K299" s="423" t="s">
        <v>683</v>
      </c>
      <c r="L299" s="405">
        <f>J299*5%+J299</f>
        <v>4154068114.3709998</v>
      </c>
      <c r="M299" s="423" t="s">
        <v>683</v>
      </c>
      <c r="N299" s="405">
        <f>L299*1%+L299</f>
        <v>4195608795.5147099</v>
      </c>
      <c r="O299" s="423" t="s">
        <v>683</v>
      </c>
      <c r="P299" s="405">
        <f>L299*1%+L299</f>
        <v>4195608795.5147099</v>
      </c>
      <c r="Q299" s="423" t="s">
        <v>683</v>
      </c>
      <c r="R299" s="405">
        <f>N299*1%+N299</f>
        <v>4237564883.4698572</v>
      </c>
      <c r="S299" s="235" t="s">
        <v>709</v>
      </c>
      <c r="T299" s="235">
        <f t="shared" si="71"/>
        <v>24656190437.890278</v>
      </c>
      <c r="U299" s="101"/>
      <c r="V299" s="101"/>
    </row>
    <row r="300" spans="2:22" x14ac:dyDescent="0.2">
      <c r="B300" s="443"/>
      <c r="C300" s="447"/>
      <c r="D300" s="236"/>
      <c r="E300" s="446"/>
      <c r="F300" s="446"/>
      <c r="G300" s="421"/>
      <c r="H300" s="422"/>
      <c r="I300" s="421"/>
      <c r="J300" s="405"/>
      <c r="K300" s="423"/>
      <c r="L300" s="405"/>
      <c r="M300" s="423"/>
      <c r="N300" s="405"/>
      <c r="O300" s="423"/>
      <c r="P300" s="405"/>
      <c r="Q300" s="423"/>
      <c r="R300" s="405"/>
      <c r="S300" s="235"/>
      <c r="T300" s="235"/>
      <c r="U300" s="101"/>
      <c r="V300" s="101"/>
    </row>
    <row r="301" spans="2:22" x14ac:dyDescent="0.2">
      <c r="B301" s="443"/>
      <c r="C301" s="449"/>
      <c r="D301" s="236"/>
      <c r="E301" s="446"/>
      <c r="F301" s="446"/>
      <c r="G301" s="421"/>
      <c r="H301" s="422"/>
      <c r="I301" s="421"/>
      <c r="J301" s="405"/>
      <c r="K301" s="423"/>
      <c r="L301" s="405"/>
      <c r="M301" s="423"/>
      <c r="N301" s="405"/>
      <c r="O301" s="423"/>
      <c r="P301" s="405"/>
      <c r="Q301" s="423"/>
      <c r="R301" s="405"/>
      <c r="S301" s="235"/>
      <c r="T301" s="235"/>
      <c r="U301" s="101"/>
      <c r="V301" s="101"/>
    </row>
    <row r="302" spans="2:22" ht="21" x14ac:dyDescent="0.2">
      <c r="B302" s="443"/>
      <c r="C302" s="442" t="s">
        <v>724</v>
      </c>
      <c r="D302" s="441" t="s">
        <v>805</v>
      </c>
      <c r="E302" s="442" t="s">
        <v>806</v>
      </c>
      <c r="F302" s="460" t="s">
        <v>807</v>
      </c>
      <c r="G302" s="398">
        <v>1</v>
      </c>
      <c r="H302" s="399">
        <v>3040589354</v>
      </c>
      <c r="I302" s="425">
        <v>1</v>
      </c>
      <c r="J302" s="399">
        <f t="shared" ref="J302:R302" si="74">SUM(J303:J304)</f>
        <v>3336980414</v>
      </c>
      <c r="K302" s="425">
        <v>1</v>
      </c>
      <c r="L302" s="399">
        <f t="shared" si="74"/>
        <v>3503829434.6999998</v>
      </c>
      <c r="M302" s="425">
        <v>1</v>
      </c>
      <c r="N302" s="399">
        <f t="shared" si="74"/>
        <v>3671003755.7549996</v>
      </c>
      <c r="O302" s="425">
        <v>1</v>
      </c>
      <c r="P302" s="399">
        <f t="shared" ref="P302" si="75">SUM(P303:P304)</f>
        <v>3666995180.4149995</v>
      </c>
      <c r="Q302" s="425">
        <v>1</v>
      </c>
      <c r="R302" s="399">
        <f t="shared" si="74"/>
        <v>3838038613.1419497</v>
      </c>
      <c r="S302" s="244">
        <f>Q302</f>
        <v>1</v>
      </c>
      <c r="T302" s="233">
        <f>SUM(T303:T304)</f>
        <v>19237087733.311951</v>
      </c>
      <c r="U302" s="101"/>
      <c r="V302" s="101"/>
    </row>
    <row r="303" spans="2:22" ht="22.5" x14ac:dyDescent="0.2">
      <c r="B303" s="461"/>
      <c r="C303" s="459"/>
      <c r="D303" s="236" t="s">
        <v>808</v>
      </c>
      <c r="E303" s="446" t="s">
        <v>809</v>
      </c>
      <c r="F303" s="457" t="s">
        <v>810</v>
      </c>
      <c r="G303" s="404" t="s">
        <v>684</v>
      </c>
      <c r="H303" s="422">
        <v>2824624894</v>
      </c>
      <c r="I303" s="404" t="s">
        <v>684</v>
      </c>
      <c r="J303" s="405">
        <v>2955211334</v>
      </c>
      <c r="K303" s="404" t="s">
        <v>684</v>
      </c>
      <c r="L303" s="405">
        <f>J303*5%+J303</f>
        <v>3102971900.6999998</v>
      </c>
      <c r="M303" s="404" t="s">
        <v>685</v>
      </c>
      <c r="N303" s="405">
        <f>L303*5%+L303</f>
        <v>3258120495.7349997</v>
      </c>
      <c r="O303" s="404" t="s">
        <v>684</v>
      </c>
      <c r="P303" s="405">
        <f>L303*5%+L303</f>
        <v>3258120495.7349997</v>
      </c>
      <c r="Q303" s="404" t="s">
        <v>684</v>
      </c>
      <c r="R303" s="405">
        <f>N303*5%+N303</f>
        <v>3421026520.5217495</v>
      </c>
      <c r="S303" s="432" t="s">
        <v>710</v>
      </c>
      <c r="T303" s="235">
        <f>H303+J303+L303+N303+P303+R303</f>
        <v>18820075640.69175</v>
      </c>
      <c r="U303" s="101"/>
      <c r="V303" s="101"/>
    </row>
    <row r="304" spans="2:22" ht="22.5" x14ac:dyDescent="0.2">
      <c r="B304" s="462"/>
      <c r="C304" s="459"/>
      <c r="D304" s="463"/>
      <c r="E304" s="446" t="s">
        <v>811</v>
      </c>
      <c r="F304" s="457" t="s">
        <v>812</v>
      </c>
      <c r="G304" s="421" t="s">
        <v>100</v>
      </c>
      <c r="H304" s="410">
        <v>363589600</v>
      </c>
      <c r="I304" s="421" t="s">
        <v>100</v>
      </c>
      <c r="J304" s="405">
        <f>H304*5%+H304</f>
        <v>381769080</v>
      </c>
      <c r="K304" s="421" t="s">
        <v>100</v>
      </c>
      <c r="L304" s="405">
        <f>J304*5%+J304</f>
        <v>400857534</v>
      </c>
      <c r="M304" s="421" t="s">
        <v>100</v>
      </c>
      <c r="N304" s="405">
        <f>L304*3%+L304</f>
        <v>412883260.01999998</v>
      </c>
      <c r="O304" s="421" t="s">
        <v>100</v>
      </c>
      <c r="P304" s="405">
        <f>L304*2%+L304</f>
        <v>408874684.68000001</v>
      </c>
      <c r="Q304" s="421" t="s">
        <v>100</v>
      </c>
      <c r="R304" s="405">
        <f>N304*1%+N304</f>
        <v>417012092.62019998</v>
      </c>
      <c r="S304" s="235" t="s">
        <v>699</v>
      </c>
      <c r="T304" s="235">
        <f t="shared" si="52"/>
        <v>417012092.62019998</v>
      </c>
      <c r="U304" s="101"/>
      <c r="V304" s="101"/>
    </row>
    <row r="305" spans="2:22" ht="31.5" x14ac:dyDescent="0.2">
      <c r="B305" s="443"/>
      <c r="C305" s="442" t="s">
        <v>813</v>
      </c>
      <c r="D305" s="441" t="s">
        <v>805</v>
      </c>
      <c r="E305" s="442" t="s">
        <v>814</v>
      </c>
      <c r="F305" s="460" t="s">
        <v>807</v>
      </c>
      <c r="G305" s="398">
        <v>1</v>
      </c>
      <c r="H305" s="399">
        <f>SUM(H306:H308)</f>
        <v>10343668043</v>
      </c>
      <c r="I305" s="398">
        <v>1</v>
      </c>
      <c r="J305" s="399">
        <f t="shared" ref="J305:R305" si="76">SUM(J306:J308)</f>
        <v>26536463737.650002</v>
      </c>
      <c r="K305" s="398">
        <v>1</v>
      </c>
      <c r="L305" s="399">
        <f t="shared" si="76"/>
        <v>32898272938.5825</v>
      </c>
      <c r="M305" s="398">
        <v>1</v>
      </c>
      <c r="N305" s="399">
        <f t="shared" si="76"/>
        <v>38865525392.325378</v>
      </c>
      <c r="O305" s="398">
        <v>1</v>
      </c>
      <c r="P305" s="399">
        <f t="shared" ref="P305" si="77">SUM(P306:P308)</f>
        <v>40104963839.830048</v>
      </c>
      <c r="Q305" s="398">
        <v>1</v>
      </c>
      <c r="R305" s="399">
        <f t="shared" si="76"/>
        <v>39721904243.759995</v>
      </c>
      <c r="S305" s="435">
        <v>1</v>
      </c>
      <c r="T305" s="436">
        <f>SUM(T306:T308)</f>
        <v>188470798195.14795</v>
      </c>
      <c r="U305" s="437"/>
      <c r="V305" s="437"/>
    </row>
    <row r="306" spans="2:22" ht="22.5" x14ac:dyDescent="0.2">
      <c r="B306" s="443"/>
      <c r="C306" s="447"/>
      <c r="D306" s="464" t="s">
        <v>808</v>
      </c>
      <c r="E306" s="448" t="s">
        <v>815</v>
      </c>
      <c r="F306" s="465" t="s">
        <v>816</v>
      </c>
      <c r="G306" s="427" t="s">
        <v>686</v>
      </c>
      <c r="H306" s="428">
        <v>6093956741</v>
      </c>
      <c r="I306" s="427" t="s">
        <v>686</v>
      </c>
      <c r="J306" s="429">
        <f>H306*155%+H306</f>
        <v>15539589689.550001</v>
      </c>
      <c r="K306" s="427" t="s">
        <v>686</v>
      </c>
      <c r="L306" s="429">
        <f>J306*5%+J306</f>
        <v>16316569174.027502</v>
      </c>
      <c r="M306" s="427" t="s">
        <v>686</v>
      </c>
      <c r="N306" s="429">
        <f>L306*15%+L306</f>
        <v>18764054550.131626</v>
      </c>
      <c r="O306" s="427" t="s">
        <v>686</v>
      </c>
      <c r="P306" s="429">
        <f>L306*16%+L306</f>
        <v>18927220241.871902</v>
      </c>
      <c r="Q306" s="427" t="s">
        <v>686</v>
      </c>
      <c r="R306" s="429">
        <f>N306*1%+N306</f>
        <v>18951695095.632942</v>
      </c>
      <c r="S306" s="438" t="s">
        <v>711</v>
      </c>
      <c r="T306" s="438">
        <f>H306+J306+L306+N306+P306+R306</f>
        <v>94593085492.213989</v>
      </c>
      <c r="U306" s="439"/>
      <c r="V306" s="439"/>
    </row>
    <row r="307" spans="2:22" ht="22.5" x14ac:dyDescent="0.2">
      <c r="B307" s="443"/>
      <c r="C307" s="447"/>
      <c r="D307" s="236" t="s">
        <v>817</v>
      </c>
      <c r="E307" s="446" t="s">
        <v>818</v>
      </c>
      <c r="F307" s="457" t="s">
        <v>819</v>
      </c>
      <c r="G307" s="421" t="s">
        <v>687</v>
      </c>
      <c r="H307" s="422">
        <v>2143115802</v>
      </c>
      <c r="I307" s="421" t="s">
        <v>687</v>
      </c>
      <c r="J307" s="405">
        <f>H307*305%+H307</f>
        <v>8679618998.0999985</v>
      </c>
      <c r="K307" s="421" t="s">
        <v>687</v>
      </c>
      <c r="L307" s="405">
        <f>J307*55%+J307</f>
        <v>13453409447.054998</v>
      </c>
      <c r="M307" s="421" t="s">
        <v>687</v>
      </c>
      <c r="N307" s="405">
        <f>L307*25%+L307</f>
        <v>16816761808.818748</v>
      </c>
      <c r="O307" s="421" t="s">
        <v>687</v>
      </c>
      <c r="P307" s="405">
        <f>L307*33%+L307</f>
        <v>17893034564.583149</v>
      </c>
      <c r="Q307" s="421" t="s">
        <v>687</v>
      </c>
      <c r="R307" s="405">
        <f>N307*3%+N307</f>
        <v>17321264663.083309</v>
      </c>
      <c r="S307" s="235" t="s">
        <v>712</v>
      </c>
      <c r="T307" s="235">
        <f t="shared" ref="T307:T308" si="78">H307+J307+L307+N307+P307+R307</f>
        <v>76307205283.640213</v>
      </c>
      <c r="U307" s="101"/>
      <c r="V307" s="101"/>
    </row>
    <row r="308" spans="2:22" ht="22.5" x14ac:dyDescent="0.2">
      <c r="B308" s="461"/>
      <c r="C308" s="449"/>
      <c r="D308" s="236" t="s">
        <v>820</v>
      </c>
      <c r="E308" s="446" t="s">
        <v>821</v>
      </c>
      <c r="F308" s="457" t="s">
        <v>822</v>
      </c>
      <c r="G308" s="425" t="s">
        <v>332</v>
      </c>
      <c r="H308" s="422">
        <v>2106595500</v>
      </c>
      <c r="I308" s="425" t="s">
        <v>332</v>
      </c>
      <c r="J308" s="405">
        <f>H308*10%+H308</f>
        <v>2317255050</v>
      </c>
      <c r="K308" s="421" t="s">
        <v>332</v>
      </c>
      <c r="L308" s="405">
        <f>J308*35%+J308</f>
        <v>3128294317.5</v>
      </c>
      <c r="M308" s="421" t="s">
        <v>332</v>
      </c>
      <c r="N308" s="405">
        <f>L308*5%+L308</f>
        <v>3284709033.375</v>
      </c>
      <c r="O308" s="421" t="s">
        <v>332</v>
      </c>
      <c r="P308" s="405">
        <f>L308*5%+L308</f>
        <v>3284709033.375</v>
      </c>
      <c r="Q308" s="421" t="s">
        <v>332</v>
      </c>
      <c r="R308" s="405">
        <f>N308*5%+N308</f>
        <v>3448944485.0437498</v>
      </c>
      <c r="S308" s="235" t="s">
        <v>713</v>
      </c>
      <c r="T308" s="235">
        <f t="shared" si="78"/>
        <v>17570507419.293751</v>
      </c>
      <c r="U308" s="101"/>
      <c r="V308" s="101"/>
    </row>
  </sheetData>
  <mergeCells count="64">
    <mergeCell ref="C9:C21"/>
    <mergeCell ref="C24:C27"/>
    <mergeCell ref="B9:B27"/>
    <mergeCell ref="C54:C58"/>
    <mergeCell ref="C59:C64"/>
    <mergeCell ref="B54:B100"/>
    <mergeCell ref="G5:H6"/>
    <mergeCell ref="C232:C254"/>
    <mergeCell ref="B232:B254"/>
    <mergeCell ref="C213:C230"/>
    <mergeCell ref="B213:B230"/>
    <mergeCell ref="C199:C205"/>
    <mergeCell ref="C206:C212"/>
    <mergeCell ref="B199:B212"/>
    <mergeCell ref="C173:C197"/>
    <mergeCell ref="B173:B197"/>
    <mergeCell ref="C124:C137"/>
    <mergeCell ref="D124:D126"/>
    <mergeCell ref="B124:B137"/>
    <mergeCell ref="E124:E126"/>
    <mergeCell ref="B5:B7"/>
    <mergeCell ref="C5:C7"/>
    <mergeCell ref="D5:D7"/>
    <mergeCell ref="E5:E7"/>
    <mergeCell ref="F5:F7"/>
    <mergeCell ref="I5:R5"/>
    <mergeCell ref="S5:T6"/>
    <mergeCell ref="U5:U7"/>
    <mergeCell ref="V5:V7"/>
    <mergeCell ref="I6:J6"/>
    <mergeCell ref="K6:L6"/>
    <mergeCell ref="M6:N6"/>
    <mergeCell ref="O6:P6"/>
    <mergeCell ref="Q6:R6"/>
    <mergeCell ref="C29:C30"/>
    <mergeCell ref="C41:C43"/>
    <mergeCell ref="B29:B30"/>
    <mergeCell ref="H102:H104"/>
    <mergeCell ref="J102:J104"/>
    <mergeCell ref="C65:C67"/>
    <mergeCell ref="C68:C85"/>
    <mergeCell ref="C86:C100"/>
    <mergeCell ref="E68:E70"/>
    <mergeCell ref="D68:D70"/>
    <mergeCell ref="E59:E67"/>
    <mergeCell ref="D59:D67"/>
    <mergeCell ref="F68:F70"/>
    <mergeCell ref="F59:F64"/>
    <mergeCell ref="F65:F67"/>
    <mergeCell ref="F54:F58"/>
    <mergeCell ref="N102:N104"/>
    <mergeCell ref="P102:P104"/>
    <mergeCell ref="A53:V53"/>
    <mergeCell ref="R102:R104"/>
    <mergeCell ref="L102:L104"/>
    <mergeCell ref="E97:E98"/>
    <mergeCell ref="F97:F98"/>
    <mergeCell ref="E86:E88"/>
    <mergeCell ref="D86:D88"/>
    <mergeCell ref="F86:F88"/>
    <mergeCell ref="B101:B113"/>
    <mergeCell ref="C102:C104"/>
    <mergeCell ref="C105:C109"/>
    <mergeCell ref="C110:C112"/>
  </mergeCell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 S U S</cp:lastModifiedBy>
  <dcterms:created xsi:type="dcterms:W3CDTF">2025-09-19T14:20:58Z</dcterms:created>
  <dcterms:modified xsi:type="dcterms:W3CDTF">2025-09-22T03:34:37Z</dcterms:modified>
</cp:coreProperties>
</file>